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2120" windowHeight="8385" activeTab="2"/>
  </bookViews>
  <sheets>
    <sheet name="CSF Rates" sheetId="2" r:id="rId1"/>
    <sheet name="YR_REV" sheetId="1" r:id="rId2"/>
    <sheet name="K-Rates" sheetId="3" r:id="rId3"/>
    <sheet name="K-Rates (2)" sheetId="4" r:id="rId4"/>
  </sheets>
  <definedNames>
    <definedName name="_xlnm.Print_Area" localSheetId="2">'K-Rates'!$A$10:$J$174</definedName>
    <definedName name="_xlnm.Print_Area" localSheetId="3">'K-Rates (2)'!$A$1:$J$135</definedName>
    <definedName name="_xlnm.Print_Area" localSheetId="1">YR_REV!$H$95:$R$140</definedName>
    <definedName name="_xlnm.Print_Titles" localSheetId="2">'K-Rates'!$10:$10</definedName>
    <definedName name="_xlnm.Print_Titles" localSheetId="3">'K-Rates (2)'!$1:$1</definedName>
    <definedName name="_xlnm.Print_Titles" localSheetId="1">YR_REV!$B:$G</definedName>
    <definedName name="ZA0" localSheetId="2">"Crystal Ball Data : Ver. 4.0.3"</definedName>
    <definedName name="ZA0" localSheetId="3">"Crystal Ball Data : Ver. 4.0.3"</definedName>
    <definedName name="ZA0" localSheetId="1">"Crystal Ball Data : Ver. 4.0.3"</definedName>
    <definedName name="ZA0A" localSheetId="2">3+105</definedName>
    <definedName name="ZA0A" localSheetId="3">3+105</definedName>
    <definedName name="ZA0A" localSheetId="1">3+105</definedName>
    <definedName name="ZA0C" localSheetId="2">0+0</definedName>
    <definedName name="ZA0C" localSheetId="3">0+0</definedName>
    <definedName name="ZA0C" localSheetId="1">0+0</definedName>
    <definedName name="ZA0D" localSheetId="2">0+0</definedName>
    <definedName name="ZA0D" localSheetId="3">0+0</definedName>
    <definedName name="ZA0D" localSheetId="1">0+0</definedName>
    <definedName name="ZA0F" localSheetId="2">54+153</definedName>
    <definedName name="ZA0F" localSheetId="3">54+153</definedName>
    <definedName name="ZA0F" localSheetId="1">54+153</definedName>
    <definedName name="ZA0T" localSheetId="2">37731177+0</definedName>
    <definedName name="ZA0T" localSheetId="3">37731177+0</definedName>
    <definedName name="ZA0T" localSheetId="1">37731177+0</definedName>
    <definedName name="_ZA103" localSheetId="2">'K-Rates'!#REF!+"bD43"+17449+0.11+0.13+0.15</definedName>
    <definedName name="_ZA103" localSheetId="3">'K-Rates (2)'!#REF!+"bD43"+17449+0.11+0.13+0.15</definedName>
    <definedName name="_ZA103" localSheetId="1">YR_REV!#REF!+"bD43"+17449+0.11+0.13+0.15</definedName>
    <definedName name="_ZA104" localSheetId="2">'K-Rates'!#REF!+"bD46"+17449+0.08+0.1+0.12</definedName>
    <definedName name="_ZA104" localSheetId="3">'K-Rates (2)'!#REF!+"bD46"+17449+0.08+0.1+0.12</definedName>
    <definedName name="_ZA104" localSheetId="1">YR_REV!$E$69+"bD46"+17449+0.08+0.1+0.12</definedName>
    <definedName name="_ZA105" localSheetId="2">'K-Rates'!#REF!+"fD64"+17449+0.0579+"?"+0.0979</definedName>
    <definedName name="_ZA105" localSheetId="3">'K-Rates (2)'!#REF!+"fD64"+17449+0.0579+"?"+0.0979</definedName>
    <definedName name="_ZA105" localSheetId="1">YR_REV!$E$124+"fD64"+17449+0.0579+"?"+0.0979</definedName>
    <definedName name="_ZF100" localSheetId="2">'K-Rates'!#REF!+"y1mlwog"+""+41+41+440+0+0+0+0+4+3+"-"+"+"+2.6+50+2</definedName>
    <definedName name="_ZF100" localSheetId="3">'K-Rates (2)'!#REF!+"y1mlwog"+""+41+41+440+0+0+0+0+4+3+"-"+"+"+2.6+50+2</definedName>
    <definedName name="_ZF100" localSheetId="1">YR_REV!#REF!+"y1mlwog"+""+41+41+440+0+0+0+0+4+3+"-"+"+"+2.6+50+2</definedName>
    <definedName name="_ZF101" localSheetId="2">'K-Rates'!#REF!+"y2mlwog"+""+41+41+440+0+0+0+0+4+3+"-"+"+"+2.6+50+2</definedName>
    <definedName name="_ZF101" localSheetId="3">'K-Rates (2)'!#REF!+"y2mlwog"+""+41+41+440+0+0+0+0+4+3+"-"+"+"+2.6+50+2</definedName>
    <definedName name="_ZF101" localSheetId="1">YR_REV!#REF!+"y2mlwog"+""+41+41+440+0+0+0+0+4+3+"-"+"+"+2.6+50+2</definedName>
    <definedName name="_ZF102" localSheetId="2">'K-Rates'!#REF!+"y3mlwog"+""+41+41+440+0+0+0+0+4+3+"-"+"+"+2.6+50+2</definedName>
    <definedName name="_ZF102" localSheetId="3">'K-Rates (2)'!#REF!+"y3mlwog"+""+41+41+440+0+0+0+0+4+3+"-"+"+"+2.6+50+2</definedName>
    <definedName name="_ZF102" localSheetId="1">YR_REV!#REF!+"y3mlwog"+""+41+41+440+0+0+0+0+4+3+"-"+"+"+2.6+50+2</definedName>
    <definedName name="_ZF103" localSheetId="2">'K-Rates'!#REF!+"y4mlwog"+""+41+41+440+0+0+0+0+4+3+"-"+"+"+2.6+50+2</definedName>
    <definedName name="_ZF103" localSheetId="3">'K-Rates (2)'!#REF!+"y4mlwog"+""+41+41+440+0+0+0+0+4+3+"-"+"+"+2.6+50+2</definedName>
    <definedName name="_ZF103" localSheetId="1">YR_REV!#REF!+"y4mlwog"+""+41+41+440+0+0+0+0+4+3+"-"+"+"+2.6+50+2</definedName>
    <definedName name="_ZF104" localSheetId="2">'K-Rates'!#REF!+"y5mlwog"+""+41+41+440+0+0+0+0+4+3+"-"+"+"+2.6+50+2</definedName>
    <definedName name="_ZF104" localSheetId="3">'K-Rates (2)'!#REF!+"y5mlwog"+""+41+41+440+0+0+0+0+4+3+"-"+"+"+2.6+50+2</definedName>
    <definedName name="_ZF104" localSheetId="1">YR_REV!#REF!+"y5mlwog"+""+41+41+440+0+0+0+0+4+3+"-"+"+"+2.6+50+2</definedName>
    <definedName name="_ZF105" localSheetId="2">'K-Rates'!#REF!+"y6mlwog"+""+41+41+440+0+0+0+0+4+3+"-"+"+"+2.6+50+2</definedName>
    <definedName name="_ZF105" localSheetId="3">'K-Rates (2)'!#REF!+"y6mlwog"+""+41+41+440+0+0+0+0+4+3+"-"+"+"+2.6+50+2</definedName>
    <definedName name="_ZF105" localSheetId="1">YR_REV!#REF!+"y6mlwog"+""+41+41+440+0+0+0+0+4+3+"-"+"+"+2.6+50+2</definedName>
    <definedName name="_ZF106" localSheetId="2">'K-Rates'!#REF!+"y7mlwog"+""+41+41+440+0+0+0+0+4+3+"-"+"+"+2.6+50+2</definedName>
    <definedName name="_ZF106" localSheetId="3">'K-Rates (2)'!#REF!+"y7mlwog"+""+41+41+440+0+0+0+0+4+3+"-"+"+"+2.6+50+2</definedName>
    <definedName name="_ZF106" localSheetId="1">YR_REV!#REF!+"y7mlwog"+""+41+41+440+0+0+0+0+4+3+"-"+"+"+2.6+50+2</definedName>
    <definedName name="_ZF107" localSheetId="2">'K-Rates'!#REF!+"y8mlwog"+""+41+41+440+0+0+0+0+4+3+"-"+"+"+2.6+50+2</definedName>
    <definedName name="_ZF107" localSheetId="3">'K-Rates (2)'!#REF!+"y8mlwog"+""+41+41+440+0+0+0+0+4+3+"-"+"+"+2.6+50+2</definedName>
    <definedName name="_ZF107" localSheetId="1">YR_REV!#REF!+"y8mlwog"+""+41+41+440+0+0+0+0+4+3+"-"+"+"+2.6+50+2</definedName>
    <definedName name="_ZF108" localSheetId="2">'K-Rates'!#REF!+"y9mlwog"+""+41+41+440+0+0+0+0+4+3+"-"+"+"+2.6+50+2</definedName>
    <definedName name="_ZF108" localSheetId="3">'K-Rates (2)'!#REF!+"y9mlwog"+""+41+41+440+0+0+0+0+4+3+"-"+"+"+2.6+50+2</definedName>
    <definedName name="_ZF108" localSheetId="1">YR_REV!#REF!+"y9mlwog"+""+41+41+440+0+0+0+0+4+3+"-"+"+"+2.6+50+2</definedName>
    <definedName name="_ZF109" localSheetId="2">'K-Rates'!#REF!+"y10mlwog"+""+41+41+440+0+0+0+0+4+3+"-"+"+"+2.6+50+2</definedName>
    <definedName name="_ZF109" localSheetId="3">'K-Rates (2)'!#REF!+"y10mlwog"+""+41+41+440+0+0+0+0+4+3+"-"+"+"+2.6+50+2</definedName>
    <definedName name="_ZF109" localSheetId="1">YR_REV!#REF!+"y10mlwog"+""+41+41+440+0+0+0+0+4+3+"-"+"+"+2.6+50+2</definedName>
    <definedName name="_ZF110" localSheetId="2">'K-Rates'!#REF!+"y11mlwog"+""+41+41+440+0+0+0+0+4+3+"-"+"+"+2.6+50+2</definedName>
    <definedName name="_ZF110" localSheetId="3">'K-Rates (2)'!#REF!+"y11mlwog"+""+41+41+440+0+0+0+0+4+3+"-"+"+"+2.6+50+2</definedName>
    <definedName name="_ZF110" localSheetId="1">YR_REV!#REF!+"y11mlwog"+""+41+41+440+0+0+0+0+4+3+"-"+"+"+2.6+50+2</definedName>
    <definedName name="_ZF111" localSheetId="2">'K-Rates'!#REF!+"y1mlwg"+""+41+41+440+0+0+0+0+4+3+"-"+"+"+2.6+50+2</definedName>
    <definedName name="_ZF111" localSheetId="3">'K-Rates (2)'!#REF!+"y1mlwg"+""+41+41+440+0+0+0+0+4+3+"-"+"+"+2.6+50+2</definedName>
    <definedName name="_ZF111" localSheetId="1">YR_REV!#REF!+"y1mlwg"+""+41+41+440+0+0+0+0+4+3+"-"+"+"+2.6+50+2</definedName>
    <definedName name="_ZF112" localSheetId="2">'K-Rates'!#REF!+"y2mlwg"+""+41+41+440+0+0+0+0+4+3+"-"+"+"+2.6+50+2</definedName>
    <definedName name="_ZF112" localSheetId="3">'K-Rates (2)'!#REF!+"y2mlwg"+""+41+41+440+0+0+0+0+4+3+"-"+"+"+2.6+50+2</definedName>
    <definedName name="_ZF112" localSheetId="1">YR_REV!#REF!+"y2mlwg"+""+41+41+440+0+0+0+0+4+3+"-"+"+"+2.6+50+2</definedName>
    <definedName name="_ZF113" localSheetId="2">'K-Rates'!#REF!+"y3mlwg"+""+41+41+440+0+0+0+0+4+3+"-"+"+"+2.6+50+2</definedName>
    <definedName name="_ZF113" localSheetId="3">'K-Rates (2)'!#REF!+"y3mlwg"+""+41+41+440+0+0+0+0+4+3+"-"+"+"+2.6+50+2</definedName>
    <definedName name="_ZF113" localSheetId="1">YR_REV!#REF!+"y3mlwg"+""+41+41+440+0+0+0+0+4+3+"-"+"+"+2.6+50+2</definedName>
    <definedName name="_ZF114" localSheetId="2">'K-Rates'!#REF!+"y4mlwg"+""+41+41+440+0+0+0+0+4+3+"-"+"+"+2.6+50+2</definedName>
    <definedName name="_ZF114" localSheetId="3">'K-Rates (2)'!#REF!+"y4mlwg"+""+41+41+440+0+0+0+0+4+3+"-"+"+"+2.6+50+2</definedName>
    <definedName name="_ZF114" localSheetId="1">YR_REV!#REF!+"y4mlwg"+""+41+41+440+0+0+0+0+4+3+"-"+"+"+2.6+50+2</definedName>
    <definedName name="_ZF115" localSheetId="2">'K-Rates'!#REF!+"y5mlwg"+""+41+41+440+0+0+0+0+4+3+"-"+"+"+2.6+50+2</definedName>
    <definedName name="_ZF115" localSheetId="3">'K-Rates (2)'!#REF!+"y5mlwg"+""+41+41+440+0+0+0+0+4+3+"-"+"+"+2.6+50+2</definedName>
    <definedName name="_ZF115" localSheetId="1">YR_REV!#REF!+"y5mlwg"+""+41+41+440+0+0+0+0+4+3+"-"+"+"+2.6+50+2</definedName>
    <definedName name="_ZF116" localSheetId="2">'K-Rates'!#REF!+"y6mlwg"+""+41+41+440+0+0+0+0+4+3+"-"+"+"+2.6+50+2</definedName>
    <definedName name="_ZF116" localSheetId="3">'K-Rates (2)'!#REF!+"y6mlwg"+""+41+41+440+0+0+0+0+4+3+"-"+"+"+2.6+50+2</definedName>
    <definedName name="_ZF116" localSheetId="1">YR_REV!#REF!+"y6mlwg"+""+41+41+440+0+0+0+0+4+3+"-"+"+"+2.6+50+2</definedName>
    <definedName name="_ZF117" localSheetId="2">'K-Rates'!#REF!+"y7mlwg"+""+41+41+440+0+0+0+0+4+3+"-"+"+"+2.6+50+2</definedName>
    <definedName name="_ZF117" localSheetId="3">'K-Rates (2)'!#REF!+"y7mlwg"+""+41+41+440+0+0+0+0+4+3+"-"+"+"+2.6+50+2</definedName>
    <definedName name="_ZF117" localSheetId="1">YR_REV!#REF!+"y7mlwg"+""+41+41+440+0+0+0+0+4+3+"-"+"+"+2.6+50+2</definedName>
    <definedName name="_ZF118" localSheetId="2">'K-Rates'!#REF!+"y8mlwg"+""+41+41+440+0+0+0+0+4+3+"-"+"+"+2.6+50+2</definedName>
    <definedName name="_ZF118" localSheetId="3">'K-Rates (2)'!#REF!+"y8mlwg"+""+41+41+440+0+0+0+0+4+3+"-"+"+"+2.6+50+2</definedName>
    <definedName name="_ZF118" localSheetId="1">YR_REV!#REF!+"y8mlwg"+""+41+41+440+0+0+0+0+4+3+"-"+"+"+2.6+50+2</definedName>
    <definedName name="_ZF119" localSheetId="2">'K-Rates'!#REF!+"y9mlwg"+""+41+41+440+0+0+0+0+4+3+"-"+"+"+2.6+50+2</definedName>
    <definedName name="_ZF119" localSheetId="3">'K-Rates (2)'!#REF!+"y9mlwg"+""+41+41+440+0+0+0+0+4+3+"-"+"+"+2.6+50+2</definedName>
    <definedName name="_ZF119" localSheetId="1">YR_REV!#REF!+"y9mlwg"+""+41+41+440+0+0+0+0+4+3+"-"+"+"+2.6+50+2</definedName>
    <definedName name="_ZF120" localSheetId="2">'K-Rates'!#REF!+"y10mlwg"+""+41+41+440+0+0+0+0+4+3+"-"+"+"+2.6+50+2</definedName>
    <definedName name="_ZF120" localSheetId="3">'K-Rates (2)'!#REF!+"y10mlwg"+""+41+41+440+0+0+0+0+4+3+"-"+"+"+2.6+50+2</definedName>
    <definedName name="_ZF120" localSheetId="1">YR_REV!#REF!+"y10mlwg"+""+41+41+440+0+0+0+0+4+3+"-"+"+"+2.6+50+2</definedName>
    <definedName name="_ZF121" localSheetId="2">'K-Rates'!#REF!+"y11mlwg"+""+41+41+440+0+0+0+0+4+3+"-"+"+"+2.6+50+2</definedName>
    <definedName name="_ZF121" localSheetId="3">'K-Rates (2)'!#REF!+"y11mlwg"+""+41+41+440+0+0+0+0+4+3+"-"+"+"+2.6+50+2</definedName>
    <definedName name="_ZF121" localSheetId="1">YR_REV!#REF!+"y11mlwg"+""+41+41+440+0+0+0+0+4+3+"-"+"+"+2.6+50+2</definedName>
    <definedName name="_ZF122" localSheetId="2">'K-Rates'!#REF!+"y1gallup"+""+41+41+440+0+0+0+0+4+3+"-"+"+"+2.6+50+2</definedName>
    <definedName name="_ZF122" localSheetId="3">'K-Rates (2)'!#REF!+"y1gallup"+""+41+41+440+0+0+0+0+4+3+"-"+"+"+2.6+50+2</definedName>
    <definedName name="_ZF122" localSheetId="1">YR_REV!#REF!+"y1gallup"+""+41+41+440+0+0+0+0+4+3+"-"+"+"+2.6+50+2</definedName>
    <definedName name="_ZF123" localSheetId="2">'K-Rates'!#REF!+"y2gallup"+""+41+41+440+0+0+0+0+4+3+"-"+"+"+2.6+50+2</definedName>
    <definedName name="_ZF123" localSheetId="3">'K-Rates (2)'!#REF!+"y2gallup"+""+41+41+440+0+0+0+0+4+3+"-"+"+"+2.6+50+2</definedName>
    <definedName name="_ZF123" localSheetId="1">YR_REV!#REF!+"y2gallup"+""+41+41+440+0+0+0+0+4+3+"-"+"+"+2.6+50+2</definedName>
    <definedName name="_ZF124" localSheetId="2">'K-Rates'!#REF!+"y3gallup"+""+41+41+440+0+0+0+0+4+3+"-"+"+"+2.6+50+2</definedName>
    <definedName name="_ZF124" localSheetId="3">'K-Rates (2)'!#REF!+"y3gallup"+""+41+41+440+0+0+0+0+4+3+"-"+"+"+2.6+50+2</definedName>
    <definedName name="_ZF124" localSheetId="1">YR_REV!#REF!+"y3gallup"+""+41+41+440+0+0+0+0+4+3+"-"+"+"+2.6+50+2</definedName>
    <definedName name="_ZF125" localSheetId="2">'K-Rates'!#REF!+"y4gallup"+""+41+41+440+0+0+0+0+4+3+"-"+"+"+2.6+50+2</definedName>
    <definedName name="_ZF125" localSheetId="3">'K-Rates (2)'!#REF!+"y4gallup"+""+41+41+440+0+0+0+0+4+3+"-"+"+"+2.6+50+2</definedName>
    <definedName name="_ZF125" localSheetId="1">YR_REV!#REF!+"y4gallup"+""+41+41+440+0+0+0+0+4+3+"-"+"+"+2.6+50+2</definedName>
    <definedName name="_ZF126" localSheetId="2">'K-Rates'!#REF!+"y5gallup"+""+41+41+440+0+0+0+0+4+3+"-"+"+"+2.6+50+2</definedName>
    <definedName name="_ZF126" localSheetId="3">'K-Rates (2)'!#REF!+"y5gallup"+""+41+41+440+0+0+0+0+4+3+"-"+"+"+2.6+50+2</definedName>
    <definedName name="_ZF126" localSheetId="1">YR_REV!#REF!+"y5gallup"+""+41+41+440+0+0+0+0+4+3+"-"+"+"+2.6+50+2</definedName>
    <definedName name="_ZF127" localSheetId="2">'K-Rates'!#REF!+"y1sjwg"+""+41+41+440+0+0+0+0+4+3+"-"+"+"+2.6+50+2</definedName>
    <definedName name="_ZF127" localSheetId="3">'K-Rates (2)'!#REF!+"y1sjwg"+""+41+41+440+0+0+0+0+4+3+"-"+"+"+2.6+50+2</definedName>
    <definedName name="_ZF127" localSheetId="1">YR_REV!#REF!+"y1sjwg"+""+41+41+440+0+0+0+0+4+3+"-"+"+"+2.6+50+2</definedName>
    <definedName name="_ZF128" localSheetId="2">'K-Rates'!#REF!+"y2sjwg"+""+41+41+440+0+0+0+0+4+3+"-"+"+"+2.6+50+2</definedName>
    <definedName name="_ZF128" localSheetId="3">'K-Rates (2)'!#REF!+"y2sjwg"+""+41+41+440+0+0+0+0+4+3+"-"+"+"+2.6+50+2</definedName>
    <definedName name="_ZF128" localSheetId="1">YR_REV!#REF!+"y2sjwg"+""+41+41+440+0+0+0+0+4+3+"-"+"+"+2.6+50+2</definedName>
    <definedName name="_ZF129" localSheetId="2">'K-Rates'!#REF!+"y3sjwg"+""+41+41+440+0+0+0+0+4+3+"-"+"+"+2.6+50+2</definedName>
    <definedName name="_ZF129" localSheetId="3">'K-Rates (2)'!#REF!+"y3sjwg"+""+41+41+440+0+0+0+0+4+3+"-"+"+"+2.6+50+2</definedName>
    <definedName name="_ZF129" localSheetId="1">YR_REV!#REF!+"y3sjwg"+""+41+41+440+0+0+0+0+4+3+"-"+"+"+2.6+50+2</definedName>
    <definedName name="_ZF130" localSheetId="2">'K-Rates'!#REF!+"y4wjsg"+""+41+41+440+0+0+0+0+4+3+"-"+"+"+2.6+50+2</definedName>
    <definedName name="_ZF130" localSheetId="3">'K-Rates (2)'!#REF!+"y4wjsg"+""+41+41+440+0+0+0+0+4+3+"-"+"+"+2.6+50+2</definedName>
    <definedName name="_ZF130" localSheetId="1">YR_REV!#REF!+"y4wjsg"+""+41+41+440+0+0+0+0+4+3+"-"+"+"+2.6+50+2</definedName>
    <definedName name="_ZF131" localSheetId="2">'K-Rates'!#REF!+"y5sjwg"+""+41+41+440+0+0+0+0+4+3+"-"+"+"+2.6+50+2</definedName>
    <definedName name="_ZF131" localSheetId="3">'K-Rates (2)'!#REF!+"y5sjwg"+""+41+41+440+0+0+0+0+4+3+"-"+"+"+2.6+50+2</definedName>
    <definedName name="_ZF131" localSheetId="1">YR_REV!#REF!+"y5sjwg"+""+41+41+440+0+0+0+0+4+3+"-"+"+"+2.6+50+2</definedName>
    <definedName name="_ZF132" localSheetId="2">'K-Rates'!#REF!+"y6sjwg"+""+41+41+440+0+0+0+0+4+3+"-"+"+"+2.6+50+2</definedName>
    <definedName name="_ZF132" localSheetId="3">'K-Rates (2)'!#REF!+"y6sjwg"+""+41+41+440+0+0+0+0+4+3+"-"+"+"+2.6+50+2</definedName>
    <definedName name="_ZF132" localSheetId="1">YR_REV!#REF!+"y6sjwg"+""+41+41+440+0+0+0+0+4+3+"-"+"+"+2.6+50+2</definedName>
    <definedName name="_ZF133" localSheetId="2">'K-Rates'!#REF!+"y7sjwg"+""+41+41+440+0+0+0+0+4+3+"-"+"+"+2.6+50+2</definedName>
    <definedName name="_ZF133" localSheetId="3">'K-Rates (2)'!#REF!+"y7sjwg"+""+41+41+440+0+0+0+0+4+3+"-"+"+"+2.6+50+2</definedName>
    <definedName name="_ZF133" localSheetId="1">YR_REV!#REF!+"y7sjwg"+""+41+41+440+0+0+0+0+4+3+"-"+"+"+2.6+50+2</definedName>
    <definedName name="_ZF134" localSheetId="2">'K-Rates'!#REF!+"y8sjwg"+""+41+41+440+0+0+0+0+4+3+"-"+"+"+2.6+50+2</definedName>
    <definedName name="_ZF134" localSheetId="3">'K-Rates (2)'!#REF!+"y8sjwg"+""+41+41+440+0+0+0+0+4+3+"-"+"+"+2.6+50+2</definedName>
    <definedName name="_ZF134" localSheetId="1">YR_REV!#REF!+"y8sjwg"+""+41+41+440+0+0+0+0+4+3+"-"+"+"+2.6+50+2</definedName>
    <definedName name="_ZF135" localSheetId="2">'K-Rates'!#REF!+"y9sjwg"+""+41+41+440+0+0+0+0+4+3+"-"+"+"+2.6+50+2</definedName>
    <definedName name="_ZF135" localSheetId="3">'K-Rates (2)'!#REF!+"y9sjwg"+""+41+41+440+0+0+0+0+4+3+"-"+"+"+2.6+50+2</definedName>
    <definedName name="_ZF135" localSheetId="1">YR_REV!#REF!+"y9sjwg"+""+41+41+440+0+0+0+0+4+3+"-"+"+"+2.6+50+2</definedName>
    <definedName name="_ZF136" localSheetId="2">'K-Rates'!#REF!+"y10sjwg"+""+41+41+440+0+0+0+0+4+3+"-"+"+"+2.6+50+2</definedName>
    <definedName name="_ZF136" localSheetId="3">'K-Rates (2)'!#REF!+"y10sjwg"+""+41+41+440+0+0+0+0+4+3+"-"+"+"+2.6+50+2</definedName>
    <definedName name="_ZF136" localSheetId="1">YR_REV!#REF!+"y10sjwg"+""+41+41+440+0+0+0+0+4+3+"-"+"+"+2.6+50+2</definedName>
    <definedName name="_ZF137" localSheetId="2">'K-Rates'!#REF!+"y11sjwg"+""+41+41+440+0+0+0+0+4+3+"-"+"+"+2.6+50+2</definedName>
    <definedName name="_ZF137" localSheetId="3">'K-Rates (2)'!#REF!+"y11sjwg"+""+41+41+440+0+0+0+0+4+3+"-"+"+"+2.6+50+2</definedName>
    <definedName name="_ZF137" localSheetId="1">YR_REV!#REF!+"y11sjwg"+""+41+41+440+0+0+0+0+4+3+"-"+"+"+2.6+50+2</definedName>
    <definedName name="_ZF138" localSheetId="2">'K-Rates'!#REF!+"y1sjwog"+""+41+41+440+0+0+0+0+4+3+"-"+"+"+2.6+50+2</definedName>
    <definedName name="_ZF138" localSheetId="3">'K-Rates (2)'!#REF!+"y1sjwog"+""+41+41+440+0+0+0+0+4+3+"-"+"+"+2.6+50+2</definedName>
    <definedName name="_ZF138" localSheetId="1">YR_REV!#REF!+"y1sjwog"+""+41+41+440+0+0+0+0+4+3+"-"+"+"+2.6+50+2</definedName>
    <definedName name="_ZF139" localSheetId="2">'K-Rates'!#REF!+"y2sjwog"+""+41+41+440+0+0+0+0+4+3+"-"+"+"+2.6+50+2</definedName>
    <definedName name="_ZF139" localSheetId="3">'K-Rates (2)'!#REF!+"y2sjwog"+""+41+41+440+0+0+0+0+4+3+"-"+"+"+2.6+50+2</definedName>
    <definedName name="_ZF139" localSheetId="1">YR_REV!#REF!+"y2sjwog"+""+41+41+440+0+0+0+0+4+3+"-"+"+"+2.6+50+2</definedName>
    <definedName name="_ZF140" localSheetId="2">'K-Rates'!#REF!+"y3sjwog"+""+41+41+440+0+0+0+0+4+3+"-"+"+"+2.6+50+2</definedName>
    <definedName name="_ZF140" localSheetId="3">'K-Rates (2)'!#REF!+"y3sjwog"+""+41+41+440+0+0+0+0+4+3+"-"+"+"+2.6+50+2</definedName>
    <definedName name="_ZF140" localSheetId="1">YR_REV!#REF!+"y3sjwog"+""+41+41+440+0+0+0+0+4+3+"-"+"+"+2.6+50+2</definedName>
    <definedName name="_ZF141" localSheetId="2">'K-Rates'!#REF!+"y4sjwog"+""+41+41+440+0+0+0+0+4+3+"-"+"+"+2.6+50+2</definedName>
    <definedName name="_ZF141" localSheetId="3">'K-Rates (2)'!#REF!+"y4sjwog"+""+41+41+440+0+0+0+0+4+3+"-"+"+"+2.6+50+2</definedName>
    <definedName name="_ZF141" localSheetId="1">YR_REV!#REF!+"y4sjwog"+""+41+41+440+0+0+0+0+4+3+"-"+"+"+2.6+50+2</definedName>
    <definedName name="_ZF142" localSheetId="2">'K-Rates'!#REF!+"y5sjwog"+""+41+41+440+0+0+0+0+4+3+"-"+"+"+2.6+50+2</definedName>
    <definedName name="_ZF142" localSheetId="3">'K-Rates (2)'!#REF!+"y5sjwog"+""+41+41+440+0+0+0+0+4+3+"-"+"+"+2.6+50+2</definedName>
    <definedName name="_ZF142" localSheetId="1">YR_REV!#REF!+"y5sjwog"+""+41+41+440+0+0+0+0+4+3+"-"+"+"+2.6+50+2</definedName>
    <definedName name="_ZF143" localSheetId="2">'K-Rates'!#REF!+"y6sjwog"+""+41+41+440+0+0+0+0+4+3+"-"+"+"+2.6+50+2</definedName>
    <definedName name="_ZF143" localSheetId="3">'K-Rates (2)'!#REF!+"y6sjwog"+""+41+41+440+0+0+0+0+4+3+"-"+"+"+2.6+50+2</definedName>
    <definedName name="_ZF143" localSheetId="1">YR_REV!#REF!+"y6sjwog"+""+41+41+440+0+0+0+0+4+3+"-"+"+"+2.6+50+2</definedName>
    <definedName name="_ZF144" localSheetId="2">'K-Rates'!#REF!+"y7sjwog"+""+41+41+440+0+0+0+0+4+3+"-"+"+"+2.6+50+2</definedName>
    <definedName name="_ZF144" localSheetId="3">'K-Rates (2)'!#REF!+"y7sjwog"+""+41+41+440+0+0+0+0+4+3+"-"+"+"+2.6+50+2</definedName>
    <definedName name="_ZF144" localSheetId="1">YR_REV!#REF!+"y7sjwog"+""+41+41+440+0+0+0+0+4+3+"-"+"+"+2.6+50+2</definedName>
    <definedName name="_ZF145" localSheetId="2">'K-Rates'!#REF!+"y8sjwog"+""+41+41+440+0+0+0+0+4+3+"-"+"+"+2.6+50+2</definedName>
    <definedName name="_ZF145" localSheetId="3">'K-Rates (2)'!#REF!+"y8sjwog"+""+41+41+440+0+0+0+0+4+3+"-"+"+"+2.6+50+2</definedName>
    <definedName name="_ZF145" localSheetId="1">YR_REV!#REF!+"y8sjwog"+""+41+41+440+0+0+0+0+4+3+"-"+"+"+2.6+50+2</definedName>
    <definedName name="_ZF146" localSheetId="2">'K-Rates'!#REF!+"y9sjwog"+""+41+41+440+0+0+0+0+4+3+"-"+"+"+2.6+50+2</definedName>
    <definedName name="_ZF146" localSheetId="3">'K-Rates (2)'!#REF!+"y9sjwog"+""+41+41+440+0+0+0+0+4+3+"-"+"+"+2.6+50+2</definedName>
    <definedName name="_ZF146" localSheetId="1">YR_REV!#REF!+"y9sjwog"+""+41+41+440+0+0+0+0+4+3+"-"+"+"+2.6+50+2</definedName>
    <definedName name="_ZF147" localSheetId="2">'K-Rates'!#REF!+"y10sjwog"+""+41+41+440+0+0+0+0+4+3+"-"+"+"+2.6+50+2</definedName>
    <definedName name="_ZF147" localSheetId="3">'K-Rates (2)'!#REF!+"y10sjwog"+""+41+41+440+0+0+0+0+4+3+"-"+"+"+2.6+50+2</definedName>
    <definedName name="_ZF147" localSheetId="1">YR_REV!#REF!+"y10sjwog"+""+41+41+440+0+0+0+0+4+3+"-"+"+"+2.6+50+2</definedName>
    <definedName name="_ZF148" localSheetId="2">'K-Rates'!#REF!+"y11sjwog"+""+41+41+440+0+0+0+0+4+3+"-"+"+"+2.6+50+2</definedName>
    <definedName name="_ZF148" localSheetId="3">'K-Rates (2)'!#REF!+"y11sjwog"+""+41+41+440+0+0+0+0+4+3+"-"+"+"+2.6+50+2</definedName>
    <definedName name="_ZF148" localSheetId="1">YR_REV!#REF!+"y11sjwog"+""+41+41+440+0+0+0+0+4+3+"-"+"+"+2.6+50+2</definedName>
    <definedName name="_ZF149" localSheetId="2">'K-Rates'!#REF!+"y6gallup"+""+41+41+440+0+0+0+0+4+3+"-"+"+"+2.6+50+2</definedName>
    <definedName name="_ZF149" localSheetId="3">'K-Rates (2)'!#REF!+"y6gallup"+""+41+41+440+0+0+0+0+4+3+"-"+"+"+2.6+50+2</definedName>
    <definedName name="_ZF149" localSheetId="1">YR_REV!#REF!+"y6gallup"+""+41+41+440+0+0+0+0+4+3+"-"+"+"+2.6+50+2</definedName>
    <definedName name="_ZF150" localSheetId="2">'K-Rates'!#REF!+"y7gallup"+""+41+41+440+0+0+0+0+4+3+"-"+"+"+2.6+50+2</definedName>
    <definedName name="_ZF150" localSheetId="3">'K-Rates (2)'!#REF!+"y7gallup"+""+41+41+440+0+0+0+0+4+3+"-"+"+"+2.6+50+2</definedName>
    <definedName name="_ZF150" localSheetId="1">YR_REV!#REF!+"y7gallup"+""+41+41+440+0+0+0+0+4+3+"-"+"+"+2.6+50+2</definedName>
    <definedName name="_ZF151" localSheetId="2">'K-Rates'!#REF!+"y8gallup"+""+41+41+440+0+0+0+0+4+3+"-"+"+"+2.6+50+2</definedName>
    <definedName name="_ZF151" localSheetId="3">'K-Rates (2)'!#REF!+"y8gallup"+""+41+41+440+0+0+0+0+4+3+"-"+"+"+2.6+50+2</definedName>
    <definedName name="_ZF151" localSheetId="1">YR_REV!#REF!+"y8gallup"+""+41+41+440+0+0+0+0+4+3+"-"+"+"+2.6+50+2</definedName>
    <definedName name="_ZF152" localSheetId="2">'K-Rates'!#REF!+"y9gallup"+""+41+41+440+0+0+0+0+4+3+"-"+"+"+2.6+50+2</definedName>
    <definedName name="_ZF152" localSheetId="3">'K-Rates (2)'!#REF!+"y9gallup"+""+41+41+440+0+0+0+0+4+3+"-"+"+"+2.6+50+2</definedName>
    <definedName name="_ZF152" localSheetId="1">YR_REV!#REF!+"y9gallup"+""+41+41+440+0+0+0+0+4+3+"-"+"+"+2.6+50+2</definedName>
    <definedName name="_ZF153" localSheetId="2">'K-Rates'!#REF!+"y10gallup"+""+41+41+440+0+0+0+0+4+3+"-"+"+"+2.6+50+2</definedName>
    <definedName name="_ZF153" localSheetId="3">'K-Rates (2)'!#REF!+"y10gallup"+""+41+41+440+0+0+0+0+4+3+"-"+"+"+2.6+50+2</definedName>
    <definedName name="_ZF153" localSheetId="1">YR_REV!#REF!+"y10gallup"+""+41+41+440+0+0+0+0+4+3+"-"+"+"+2.6+50+2</definedName>
  </definedNames>
  <calcPr calcId="152511" fullCalcOnLoad="1" iterate="1"/>
</workbook>
</file>

<file path=xl/calcChain.xml><?xml version="1.0" encoding="utf-8"?>
<calcChain xmlns="http://schemas.openxmlformats.org/spreadsheetml/2006/main">
  <c r="E7" i="2" l="1"/>
  <c r="E14" i="2" s="1"/>
  <c r="F7" i="2"/>
  <c r="G7" i="2" s="1"/>
  <c r="H7" i="2" s="1"/>
  <c r="I7" i="2" s="1"/>
  <c r="D8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F14" i="2"/>
  <c r="G14" i="2"/>
  <c r="H14" i="2"/>
  <c r="H11" i="3"/>
  <c r="W11" i="3"/>
  <c r="X11" i="3"/>
  <c r="AJ11" i="3" s="1"/>
  <c r="Y11" i="3"/>
  <c r="AK11" i="3" s="1"/>
  <c r="Z11" i="3"/>
  <c r="AA11" i="3"/>
  <c r="AM11" i="3" s="1"/>
  <c r="AB11" i="3"/>
  <c r="AC11" i="3"/>
  <c r="AD11" i="3"/>
  <c r="AE11" i="3"/>
  <c r="AF11" i="3"/>
  <c r="AG11" i="3"/>
  <c r="AS11" i="3" s="1"/>
  <c r="AN11" i="3"/>
  <c r="AO11" i="3"/>
  <c r="AP11" i="3"/>
  <c r="H12" i="3"/>
  <c r="W12" i="3"/>
  <c r="X12" i="3"/>
  <c r="Y12" i="3"/>
  <c r="AK12" i="3" s="1"/>
  <c r="Z12" i="3"/>
  <c r="AL12" i="3" s="1"/>
  <c r="AA12" i="3"/>
  <c r="AM12" i="3" s="1"/>
  <c r="AB12" i="3"/>
  <c r="AN12" i="3" s="1"/>
  <c r="AC12" i="3"/>
  <c r="AD12" i="3"/>
  <c r="AE12" i="3"/>
  <c r="AF12" i="3"/>
  <c r="AG12" i="3"/>
  <c r="AS12" i="3" s="1"/>
  <c r="AI12" i="3"/>
  <c r="AJ12" i="3"/>
  <c r="AO12" i="3"/>
  <c r="AP12" i="3"/>
  <c r="AQ12" i="3"/>
  <c r="AR12" i="3"/>
  <c r="H13" i="3"/>
  <c r="W13" i="3"/>
  <c r="X13" i="3"/>
  <c r="Y13" i="3"/>
  <c r="Z13" i="3"/>
  <c r="AA13" i="3"/>
  <c r="AB13" i="3"/>
  <c r="AC13" i="3"/>
  <c r="AO13" i="3" s="1"/>
  <c r="AD13" i="3"/>
  <c r="AE13" i="3"/>
  <c r="AF13" i="3"/>
  <c r="AG13" i="3"/>
  <c r="AS13" i="3" s="1"/>
  <c r="AI13" i="3"/>
  <c r="AJ13" i="3"/>
  <c r="AK13" i="3"/>
  <c r="AP13" i="3"/>
  <c r="AQ13" i="3"/>
  <c r="AR13" i="3"/>
  <c r="H14" i="3"/>
  <c r="W14" i="3"/>
  <c r="X14" i="3"/>
  <c r="Y14" i="3"/>
  <c r="Z14" i="3"/>
  <c r="AL14" i="3" s="1"/>
  <c r="AA14" i="3"/>
  <c r="AM14" i="3" s="1"/>
  <c r="AB14" i="3"/>
  <c r="AN14" i="3" s="1"/>
  <c r="AC14" i="3"/>
  <c r="AD14" i="3"/>
  <c r="AP14" i="3" s="1"/>
  <c r="AE14" i="3"/>
  <c r="AF14" i="3"/>
  <c r="AG14" i="3"/>
  <c r="AI14" i="3"/>
  <c r="AJ14" i="3"/>
  <c r="AK14" i="3"/>
  <c r="AQ14" i="3"/>
  <c r="AR14" i="3"/>
  <c r="AS14" i="3"/>
  <c r="H15" i="3"/>
  <c r="W15" i="3"/>
  <c r="AI15" i="3" s="1"/>
  <c r="X15" i="3"/>
  <c r="Y15" i="3"/>
  <c r="Z15" i="3"/>
  <c r="AA15" i="3"/>
  <c r="AB15" i="3"/>
  <c r="AN15" i="3" s="1"/>
  <c r="AC15" i="3"/>
  <c r="AD15" i="3"/>
  <c r="AE15" i="3"/>
  <c r="AQ15" i="3" s="1"/>
  <c r="AF15" i="3"/>
  <c r="AG15" i="3"/>
  <c r="AJ15" i="3"/>
  <c r="AK15" i="3"/>
  <c r="AL15" i="3"/>
  <c r="AM15" i="3"/>
  <c r="AR15" i="3"/>
  <c r="AS15" i="3"/>
  <c r="H16" i="3"/>
  <c r="W16" i="3"/>
  <c r="AI16" i="3" s="1"/>
  <c r="X16" i="3"/>
  <c r="AJ16" i="3" s="1"/>
  <c r="Y16" i="3"/>
  <c r="Z16" i="3"/>
  <c r="AA16" i="3"/>
  <c r="AB16" i="3"/>
  <c r="AC16" i="3"/>
  <c r="AO16" i="3" s="1"/>
  <c r="AD16" i="3"/>
  <c r="AP16" i="3" s="1"/>
  <c r="AE16" i="3"/>
  <c r="AQ16" i="3" s="1"/>
  <c r="AF16" i="3"/>
  <c r="AR16" i="3" s="1"/>
  <c r="AG16" i="3"/>
  <c r="AK16" i="3"/>
  <c r="AL16" i="3"/>
  <c r="AM16" i="3"/>
  <c r="AN16" i="3"/>
  <c r="AS16" i="3"/>
  <c r="H17" i="3"/>
  <c r="W17" i="3"/>
  <c r="AI17" i="3" s="1"/>
  <c r="X17" i="3"/>
  <c r="AJ17" i="3" s="1"/>
  <c r="Y17" i="3"/>
  <c r="AK17" i="3" s="1"/>
  <c r="Z17" i="3"/>
  <c r="AA17" i="3"/>
  <c r="AB17" i="3"/>
  <c r="AC17" i="3"/>
  <c r="AD17" i="3"/>
  <c r="AP17" i="3" s="1"/>
  <c r="AE17" i="3"/>
  <c r="AQ17" i="3" s="1"/>
  <c r="AF17" i="3"/>
  <c r="AR17" i="3" s="1"/>
  <c r="AG17" i="3"/>
  <c r="AS17" i="3" s="1"/>
  <c r="AL17" i="3"/>
  <c r="AM17" i="3"/>
  <c r="AN17" i="3"/>
  <c r="AO17" i="3"/>
  <c r="H18" i="3"/>
  <c r="W18" i="3"/>
  <c r="AI18" i="3" s="1"/>
  <c r="X18" i="3"/>
  <c r="AJ18" i="3" s="1"/>
  <c r="Y18" i="3"/>
  <c r="AK18" i="3" s="1"/>
  <c r="Z18" i="3"/>
  <c r="AL18" i="3" s="1"/>
  <c r="AA18" i="3"/>
  <c r="AB18" i="3"/>
  <c r="AC18" i="3"/>
  <c r="AD18" i="3"/>
  <c r="AE18" i="3"/>
  <c r="AQ18" i="3" s="1"/>
  <c r="AF18" i="3"/>
  <c r="AR18" i="3" s="1"/>
  <c r="AG18" i="3"/>
  <c r="AS18" i="3" s="1"/>
  <c r="AM18" i="3"/>
  <c r="AN18" i="3"/>
  <c r="AO18" i="3"/>
  <c r="AP18" i="3"/>
  <c r="F19" i="3"/>
  <c r="G19" i="3"/>
  <c r="AM19" i="3" s="1"/>
  <c r="W19" i="3"/>
  <c r="AI19" i="3" s="1"/>
  <c r="X19" i="3"/>
  <c r="AJ19" i="3" s="1"/>
  <c r="Y19" i="3"/>
  <c r="AK19" i="3" s="1"/>
  <c r="Z19" i="3"/>
  <c r="AA19" i="3"/>
  <c r="AB19" i="3"/>
  <c r="AC19" i="3"/>
  <c r="AD19" i="3"/>
  <c r="AE19" i="3"/>
  <c r="AQ19" i="3" s="1"/>
  <c r="AF19" i="3"/>
  <c r="AR19" i="3" s="1"/>
  <c r="AG19" i="3"/>
  <c r="AS19" i="3" s="1"/>
  <c r="AL19" i="3"/>
  <c r="AO19" i="3"/>
  <c r="H20" i="3"/>
  <c r="W20" i="3"/>
  <c r="AI20" i="3" s="1"/>
  <c r="X20" i="3"/>
  <c r="AJ20" i="3" s="1"/>
  <c r="Y20" i="3"/>
  <c r="AK20" i="3" s="1"/>
  <c r="Z20" i="3"/>
  <c r="AL20" i="3" s="1"/>
  <c r="AA20" i="3"/>
  <c r="AB20" i="3"/>
  <c r="AC20" i="3"/>
  <c r="AD20" i="3"/>
  <c r="AE20" i="3"/>
  <c r="AQ20" i="3" s="1"/>
  <c r="AF20" i="3"/>
  <c r="AR20" i="3" s="1"/>
  <c r="AG20" i="3"/>
  <c r="AS20" i="3" s="1"/>
  <c r="AM20" i="3"/>
  <c r="AN20" i="3"/>
  <c r="AO20" i="3"/>
  <c r="AP20" i="3"/>
  <c r="H21" i="3"/>
  <c r="W21" i="3"/>
  <c r="AI21" i="3" s="1"/>
  <c r="X21" i="3"/>
  <c r="AJ21" i="3" s="1"/>
  <c r="Y21" i="3"/>
  <c r="AK21" i="3" s="1"/>
  <c r="Z21" i="3"/>
  <c r="AL21" i="3" s="1"/>
  <c r="AA21" i="3"/>
  <c r="AM21" i="3" s="1"/>
  <c r="AB21" i="3"/>
  <c r="AC21" i="3"/>
  <c r="AD21" i="3"/>
  <c r="AE21" i="3"/>
  <c r="AQ21" i="3" s="1"/>
  <c r="AF21" i="3"/>
  <c r="AR21" i="3" s="1"/>
  <c r="AG21" i="3"/>
  <c r="AS21" i="3" s="1"/>
  <c r="AN21" i="3"/>
  <c r="AO21" i="3"/>
  <c r="AP21" i="3"/>
  <c r="H22" i="3"/>
  <c r="W22" i="3"/>
  <c r="X22" i="3"/>
  <c r="AJ22" i="3" s="1"/>
  <c r="Y22" i="3"/>
  <c r="AK22" i="3" s="1"/>
  <c r="Z22" i="3"/>
  <c r="AL22" i="3" s="1"/>
  <c r="AA22" i="3"/>
  <c r="AM22" i="3" s="1"/>
  <c r="AB22" i="3"/>
  <c r="AN22" i="3" s="1"/>
  <c r="AC22" i="3"/>
  <c r="AD22" i="3"/>
  <c r="AE22" i="3"/>
  <c r="AF22" i="3"/>
  <c r="AG22" i="3"/>
  <c r="AS22" i="3" s="1"/>
  <c r="AI22" i="3"/>
  <c r="AO22" i="3"/>
  <c r="AP22" i="3"/>
  <c r="AQ22" i="3"/>
  <c r="AR22" i="3"/>
  <c r="H23" i="3"/>
  <c r="W23" i="3"/>
  <c r="X23" i="3"/>
  <c r="Y23" i="3"/>
  <c r="Z23" i="3"/>
  <c r="AL23" i="3" s="1"/>
  <c r="AA23" i="3"/>
  <c r="AM23" i="3" s="1"/>
  <c r="AB23" i="3"/>
  <c r="AN23" i="3" s="1"/>
  <c r="AC23" i="3"/>
  <c r="AO23" i="3" s="1"/>
  <c r="AD23" i="3"/>
  <c r="AE23" i="3"/>
  <c r="AF23" i="3"/>
  <c r="AG23" i="3"/>
  <c r="AI23" i="3"/>
  <c r="AJ23" i="3"/>
  <c r="AK23" i="3"/>
  <c r="AP23" i="3"/>
  <c r="AQ23" i="3"/>
  <c r="AR23" i="3"/>
  <c r="AS23" i="3"/>
  <c r="H24" i="3"/>
  <c r="W24" i="3"/>
  <c r="X24" i="3"/>
  <c r="Y24" i="3"/>
  <c r="Z24" i="3"/>
  <c r="AL24" i="3" s="1"/>
  <c r="AA24" i="3"/>
  <c r="AM24" i="3" s="1"/>
  <c r="AB24" i="3"/>
  <c r="AN24" i="3" s="1"/>
  <c r="AC24" i="3"/>
  <c r="AO24" i="3" s="1"/>
  <c r="AD24" i="3"/>
  <c r="AP24" i="3" s="1"/>
  <c r="AE24" i="3"/>
  <c r="AF24" i="3"/>
  <c r="AG24" i="3"/>
  <c r="AI24" i="3"/>
  <c r="AJ24" i="3"/>
  <c r="AK24" i="3"/>
  <c r="AQ24" i="3"/>
  <c r="AR24" i="3"/>
  <c r="AS24" i="3"/>
  <c r="H25" i="3"/>
  <c r="W25" i="3"/>
  <c r="AI25" i="3" s="1"/>
  <c r="X25" i="3"/>
  <c r="Y25" i="3"/>
  <c r="Z25" i="3"/>
  <c r="AA25" i="3"/>
  <c r="AM25" i="3" s="1"/>
  <c r="AB25" i="3"/>
  <c r="AN25" i="3" s="1"/>
  <c r="AC25" i="3"/>
  <c r="AO25" i="3" s="1"/>
  <c r="AD25" i="3"/>
  <c r="AP25" i="3" s="1"/>
  <c r="AE25" i="3"/>
  <c r="AQ25" i="3" s="1"/>
  <c r="AF25" i="3"/>
  <c r="AG25" i="3"/>
  <c r="AJ25" i="3"/>
  <c r="AK25" i="3"/>
  <c r="AL25" i="3"/>
  <c r="AR25" i="3"/>
  <c r="AS25" i="3"/>
  <c r="H26" i="3"/>
  <c r="W26" i="3"/>
  <c r="AI26" i="3" s="1"/>
  <c r="X26" i="3"/>
  <c r="AJ26" i="3" s="1"/>
  <c r="Y26" i="3"/>
  <c r="Z26" i="3"/>
  <c r="AA26" i="3"/>
  <c r="AB26" i="3"/>
  <c r="AC26" i="3"/>
  <c r="AO26" i="3" s="1"/>
  <c r="AD26" i="3"/>
  <c r="AP26" i="3" s="1"/>
  <c r="AE26" i="3"/>
  <c r="AQ26" i="3" s="1"/>
  <c r="AF26" i="3"/>
  <c r="AR26" i="3" s="1"/>
  <c r="AG26" i="3"/>
  <c r="AK26" i="3"/>
  <c r="AL26" i="3"/>
  <c r="AM26" i="3"/>
  <c r="AN26" i="3"/>
  <c r="AS26" i="3"/>
  <c r="H27" i="3"/>
  <c r="W27" i="3"/>
  <c r="AI27" i="3" s="1"/>
  <c r="X27" i="3"/>
  <c r="AJ27" i="3" s="1"/>
  <c r="Y27" i="3"/>
  <c r="AK27" i="3" s="1"/>
  <c r="Z27" i="3"/>
  <c r="AA27" i="3"/>
  <c r="AB27" i="3"/>
  <c r="AC27" i="3"/>
  <c r="AD27" i="3"/>
  <c r="AP27" i="3" s="1"/>
  <c r="AE27" i="3"/>
  <c r="AQ27" i="3" s="1"/>
  <c r="AF27" i="3"/>
  <c r="AR27" i="3" s="1"/>
  <c r="AG27" i="3"/>
  <c r="AS27" i="3" s="1"/>
  <c r="AL27" i="3"/>
  <c r="AM27" i="3"/>
  <c r="AN27" i="3"/>
  <c r="AO27" i="3"/>
  <c r="H28" i="3"/>
  <c r="W28" i="3"/>
  <c r="AI28" i="3" s="1"/>
  <c r="X28" i="3"/>
  <c r="AJ28" i="3" s="1"/>
  <c r="Y28" i="3"/>
  <c r="AK28" i="3" s="1"/>
  <c r="Z28" i="3"/>
  <c r="AL28" i="3" s="1"/>
  <c r="AA28" i="3"/>
  <c r="AB28" i="3"/>
  <c r="AC28" i="3"/>
  <c r="AD28" i="3"/>
  <c r="AP28" i="3" s="1"/>
  <c r="AE28" i="3"/>
  <c r="AQ28" i="3" s="1"/>
  <c r="AF28" i="3"/>
  <c r="AR28" i="3" s="1"/>
  <c r="AG28" i="3"/>
  <c r="AS28" i="3" s="1"/>
  <c r="AM28" i="3"/>
  <c r="AN28" i="3"/>
  <c r="AO28" i="3"/>
  <c r="H29" i="3"/>
  <c r="W29" i="3"/>
  <c r="AI29" i="3" s="1"/>
  <c r="X29" i="3"/>
  <c r="AJ29" i="3" s="1"/>
  <c r="Y29" i="3"/>
  <c r="AK29" i="3" s="1"/>
  <c r="Z29" i="3"/>
  <c r="AL29" i="3" s="1"/>
  <c r="AA29" i="3"/>
  <c r="AM29" i="3" s="1"/>
  <c r="AB29" i="3"/>
  <c r="AC29" i="3"/>
  <c r="AD29" i="3"/>
  <c r="AE29" i="3"/>
  <c r="AF29" i="3"/>
  <c r="AR29" i="3" s="1"/>
  <c r="AG29" i="3"/>
  <c r="AS29" i="3" s="1"/>
  <c r="AN29" i="3"/>
  <c r="AO29" i="3"/>
  <c r="AP29" i="3"/>
  <c r="AQ29" i="3"/>
  <c r="H30" i="3"/>
  <c r="W30" i="3"/>
  <c r="X30" i="3"/>
  <c r="Y30" i="3"/>
  <c r="AK30" i="3" s="1"/>
  <c r="Z30" i="3"/>
  <c r="AL30" i="3" s="1"/>
  <c r="AA30" i="3"/>
  <c r="AM30" i="3" s="1"/>
  <c r="AB30" i="3"/>
  <c r="AN30" i="3" s="1"/>
  <c r="AC30" i="3"/>
  <c r="AD30" i="3"/>
  <c r="AE30" i="3"/>
  <c r="AF30" i="3"/>
  <c r="AR30" i="3" s="1"/>
  <c r="AG30" i="3"/>
  <c r="AS30" i="3" s="1"/>
  <c r="AI30" i="3"/>
  <c r="AJ30" i="3"/>
  <c r="AO30" i="3"/>
  <c r="AP30" i="3"/>
  <c r="AQ30" i="3"/>
  <c r="H31" i="3"/>
  <c r="W31" i="3"/>
  <c r="X31" i="3"/>
  <c r="Y31" i="3"/>
  <c r="AK31" i="3" s="1"/>
  <c r="Z31" i="3"/>
  <c r="AL31" i="3" s="1"/>
  <c r="AA31" i="3"/>
  <c r="AM31" i="3" s="1"/>
  <c r="AB31" i="3"/>
  <c r="AN31" i="3" s="1"/>
  <c r="AC31" i="3"/>
  <c r="AO31" i="3" s="1"/>
  <c r="AD31" i="3"/>
  <c r="AE31" i="3"/>
  <c r="AF31" i="3"/>
  <c r="AG31" i="3"/>
  <c r="AS31" i="3" s="1"/>
  <c r="AI31" i="3"/>
  <c r="AJ31" i="3"/>
  <c r="AP31" i="3"/>
  <c r="AQ31" i="3"/>
  <c r="AR31" i="3"/>
  <c r="H32" i="3"/>
  <c r="W32" i="3"/>
  <c r="X32" i="3"/>
  <c r="Y32" i="3"/>
  <c r="Z32" i="3"/>
  <c r="AA32" i="3"/>
  <c r="AM32" i="3" s="1"/>
  <c r="AB32" i="3"/>
  <c r="AN32" i="3" s="1"/>
  <c r="AC32" i="3"/>
  <c r="AO32" i="3" s="1"/>
  <c r="AD32" i="3"/>
  <c r="AP32" i="3" s="1"/>
  <c r="AE32" i="3"/>
  <c r="AF32" i="3"/>
  <c r="AG32" i="3"/>
  <c r="AI32" i="3"/>
  <c r="AJ32" i="3"/>
  <c r="AK32" i="3"/>
  <c r="AL32" i="3"/>
  <c r="AQ32" i="3"/>
  <c r="AR32" i="3"/>
  <c r="AS32" i="3"/>
  <c r="H33" i="3"/>
  <c r="W33" i="3"/>
  <c r="AI33" i="3" s="1"/>
  <c r="X33" i="3"/>
  <c r="Y33" i="3"/>
  <c r="Z33" i="3"/>
  <c r="AA33" i="3"/>
  <c r="AM33" i="3" s="1"/>
  <c r="AB33" i="3"/>
  <c r="AN33" i="3" s="1"/>
  <c r="AC33" i="3"/>
  <c r="AO33" i="3" s="1"/>
  <c r="AD33" i="3"/>
  <c r="AP33" i="3" s="1"/>
  <c r="AE33" i="3"/>
  <c r="AQ33" i="3" s="1"/>
  <c r="AF33" i="3"/>
  <c r="AG33" i="3"/>
  <c r="AJ33" i="3"/>
  <c r="AK33" i="3"/>
  <c r="AL33" i="3"/>
  <c r="AR33" i="3"/>
  <c r="AS33" i="3"/>
  <c r="H34" i="3"/>
  <c r="W34" i="3"/>
  <c r="AI34" i="3" s="1"/>
  <c r="X34" i="3"/>
  <c r="AJ34" i="3" s="1"/>
  <c r="Y34" i="3"/>
  <c r="Z34" i="3"/>
  <c r="AA34" i="3"/>
  <c r="AB34" i="3"/>
  <c r="AC34" i="3"/>
  <c r="AO34" i="3" s="1"/>
  <c r="AD34" i="3"/>
  <c r="AP34" i="3" s="1"/>
  <c r="AE34" i="3"/>
  <c r="AQ34" i="3" s="1"/>
  <c r="AF34" i="3"/>
  <c r="AR34" i="3" s="1"/>
  <c r="AG34" i="3"/>
  <c r="AK34" i="3"/>
  <c r="AL34" i="3"/>
  <c r="AM34" i="3"/>
  <c r="AN34" i="3"/>
  <c r="AS34" i="3"/>
  <c r="H35" i="3"/>
  <c r="W35" i="3"/>
  <c r="AI35" i="3" s="1"/>
  <c r="X35" i="3"/>
  <c r="AJ35" i="3" s="1"/>
  <c r="Y35" i="3"/>
  <c r="AK35" i="3" s="1"/>
  <c r="Z35" i="3"/>
  <c r="AA35" i="3"/>
  <c r="AB35" i="3"/>
  <c r="AC35" i="3"/>
  <c r="AD35" i="3"/>
  <c r="AP35" i="3" s="1"/>
  <c r="AE35" i="3"/>
  <c r="AQ35" i="3" s="1"/>
  <c r="AF35" i="3"/>
  <c r="AR35" i="3" s="1"/>
  <c r="AG35" i="3"/>
  <c r="AS35" i="3" s="1"/>
  <c r="AL35" i="3"/>
  <c r="AM35" i="3"/>
  <c r="AN35" i="3"/>
  <c r="AO35" i="3"/>
  <c r="H36" i="3"/>
  <c r="W36" i="3"/>
  <c r="AI36" i="3" s="1"/>
  <c r="X36" i="3"/>
  <c r="AJ36" i="3" s="1"/>
  <c r="Y36" i="3"/>
  <c r="AK36" i="3" s="1"/>
  <c r="Z36" i="3"/>
  <c r="AL36" i="3" s="1"/>
  <c r="AA36" i="3"/>
  <c r="AB36" i="3"/>
  <c r="AC36" i="3"/>
  <c r="AD36" i="3"/>
  <c r="AE36" i="3"/>
  <c r="AQ36" i="3" s="1"/>
  <c r="AF36" i="3"/>
  <c r="AR36" i="3" s="1"/>
  <c r="AG36" i="3"/>
  <c r="AS36" i="3" s="1"/>
  <c r="AM36" i="3"/>
  <c r="AN36" i="3"/>
  <c r="AO36" i="3"/>
  <c r="AP36" i="3"/>
  <c r="H37" i="3"/>
  <c r="W37" i="3"/>
  <c r="AI37" i="3" s="1"/>
  <c r="X37" i="3"/>
  <c r="AJ37" i="3" s="1"/>
  <c r="Y37" i="3"/>
  <c r="AK37" i="3" s="1"/>
  <c r="Z37" i="3"/>
  <c r="AL37" i="3" s="1"/>
  <c r="AA37" i="3"/>
  <c r="AM37" i="3" s="1"/>
  <c r="AB37" i="3"/>
  <c r="AC37" i="3"/>
  <c r="AD37" i="3"/>
  <c r="AE37" i="3"/>
  <c r="AQ37" i="3" s="1"/>
  <c r="AF37" i="3"/>
  <c r="AR37" i="3" s="1"/>
  <c r="AG37" i="3"/>
  <c r="AS37" i="3" s="1"/>
  <c r="AN37" i="3"/>
  <c r="AO37" i="3"/>
  <c r="AP37" i="3"/>
  <c r="H38" i="3"/>
  <c r="W38" i="3"/>
  <c r="X38" i="3"/>
  <c r="AJ38" i="3" s="1"/>
  <c r="Y38" i="3"/>
  <c r="AK38" i="3" s="1"/>
  <c r="Z38" i="3"/>
  <c r="AL38" i="3" s="1"/>
  <c r="AA38" i="3"/>
  <c r="AM38" i="3" s="1"/>
  <c r="AB38" i="3"/>
  <c r="AN38" i="3" s="1"/>
  <c r="AC38" i="3"/>
  <c r="AD38" i="3"/>
  <c r="AE38" i="3"/>
  <c r="AF38" i="3"/>
  <c r="AG38" i="3"/>
  <c r="AS38" i="3" s="1"/>
  <c r="AI38" i="3"/>
  <c r="AO38" i="3"/>
  <c r="AP38" i="3"/>
  <c r="AQ38" i="3"/>
  <c r="AR38" i="3"/>
  <c r="H39" i="3"/>
  <c r="W39" i="3"/>
  <c r="X39" i="3"/>
  <c r="Y39" i="3"/>
  <c r="Z39" i="3"/>
  <c r="AL39" i="3" s="1"/>
  <c r="AA39" i="3"/>
  <c r="AM39" i="3" s="1"/>
  <c r="AB39" i="3"/>
  <c r="AN39" i="3" s="1"/>
  <c r="AC39" i="3"/>
  <c r="AO39" i="3" s="1"/>
  <c r="AD39" i="3"/>
  <c r="AE39" i="3"/>
  <c r="AF39" i="3"/>
  <c r="AG39" i="3"/>
  <c r="AS39" i="3" s="1"/>
  <c r="AI39" i="3"/>
  <c r="AJ39" i="3"/>
  <c r="AK39" i="3"/>
  <c r="AP39" i="3"/>
  <c r="AQ39" i="3"/>
  <c r="AR39" i="3"/>
  <c r="H40" i="3"/>
  <c r="W40" i="3"/>
  <c r="X40" i="3"/>
  <c r="Y40" i="3"/>
  <c r="Z40" i="3"/>
  <c r="AL40" i="3" s="1"/>
  <c r="AA40" i="3"/>
  <c r="AM40" i="3" s="1"/>
  <c r="AB40" i="3"/>
  <c r="AN40" i="3" s="1"/>
  <c r="AC40" i="3"/>
  <c r="AO40" i="3" s="1"/>
  <c r="AD40" i="3"/>
  <c r="AP40" i="3" s="1"/>
  <c r="AE40" i="3"/>
  <c r="AF40" i="3"/>
  <c r="AG40" i="3"/>
  <c r="AI40" i="3"/>
  <c r="AJ40" i="3"/>
  <c r="AK40" i="3"/>
  <c r="AQ40" i="3"/>
  <c r="AR40" i="3"/>
  <c r="AS40" i="3"/>
  <c r="H41" i="3"/>
  <c r="W41" i="3"/>
  <c r="AI41" i="3" s="1"/>
  <c r="X41" i="3"/>
  <c r="Y41" i="3"/>
  <c r="Z41" i="3"/>
  <c r="AA41" i="3"/>
  <c r="AM41" i="3" s="1"/>
  <c r="AB41" i="3"/>
  <c r="AN41" i="3" s="1"/>
  <c r="AC41" i="3"/>
  <c r="AO41" i="3" s="1"/>
  <c r="AD41" i="3"/>
  <c r="AP41" i="3" s="1"/>
  <c r="AE41" i="3"/>
  <c r="AQ41" i="3" s="1"/>
  <c r="AF41" i="3"/>
  <c r="AG41" i="3"/>
  <c r="AJ41" i="3"/>
  <c r="AK41" i="3"/>
  <c r="AL41" i="3"/>
  <c r="AR41" i="3"/>
  <c r="AS41" i="3"/>
  <c r="H42" i="3"/>
  <c r="W42" i="3"/>
  <c r="AI42" i="3" s="1"/>
  <c r="X42" i="3"/>
  <c r="AJ42" i="3" s="1"/>
  <c r="Y42" i="3"/>
  <c r="AK42" i="3" s="1"/>
  <c r="Z42" i="3"/>
  <c r="AA42" i="3"/>
  <c r="AB42" i="3"/>
  <c r="AC42" i="3"/>
  <c r="AO42" i="3" s="1"/>
  <c r="AD42" i="3"/>
  <c r="AE42" i="3"/>
  <c r="AQ42" i="3" s="1"/>
  <c r="AF42" i="3"/>
  <c r="AR42" i="3" s="1"/>
  <c r="AG42" i="3"/>
  <c r="AL42" i="3"/>
  <c r="AM42" i="3"/>
  <c r="AN42" i="3"/>
  <c r="AP42" i="3"/>
  <c r="AS42" i="3"/>
  <c r="H43" i="3"/>
  <c r="W43" i="3"/>
  <c r="X43" i="3"/>
  <c r="AJ43" i="3" s="1"/>
  <c r="Y43" i="3"/>
  <c r="AK43" i="3" s="1"/>
  <c r="Z43" i="3"/>
  <c r="AL43" i="3" s="1"/>
  <c r="AA43" i="3"/>
  <c r="AM43" i="3" s="1"/>
  <c r="AB43" i="3"/>
  <c r="AC43" i="3"/>
  <c r="AO43" i="3" s="1"/>
  <c r="AD43" i="3"/>
  <c r="AP43" i="3" s="1"/>
  <c r="AE43" i="3"/>
  <c r="AF43" i="3"/>
  <c r="AG43" i="3"/>
  <c r="AS43" i="3" s="1"/>
  <c r="AI43" i="3"/>
  <c r="AN43" i="3"/>
  <c r="AQ43" i="3"/>
  <c r="AR43" i="3"/>
  <c r="W44" i="3"/>
  <c r="AI44" i="3" s="1"/>
  <c r="X44" i="3"/>
  <c r="AJ44" i="3" s="1"/>
  <c r="Y44" i="3"/>
  <c r="Z44" i="3"/>
  <c r="AL44" i="3" s="1"/>
  <c r="AA44" i="3"/>
  <c r="AM44" i="3" s="1"/>
  <c r="AB44" i="3"/>
  <c r="AC44" i="3"/>
  <c r="AO44" i="3" s="1"/>
  <c r="AD44" i="3"/>
  <c r="AE44" i="3"/>
  <c r="AQ44" i="3" s="1"/>
  <c r="AF44" i="3"/>
  <c r="AR44" i="3" s="1"/>
  <c r="AG44" i="3"/>
  <c r="AK44" i="3"/>
  <c r="AN44" i="3"/>
  <c r="AP44" i="3"/>
  <c r="AS44" i="3"/>
  <c r="H45" i="3"/>
  <c r="W45" i="3"/>
  <c r="X45" i="3"/>
  <c r="Y45" i="3"/>
  <c r="AK45" i="3" s="1"/>
  <c r="Z45" i="3"/>
  <c r="AL45" i="3" s="1"/>
  <c r="AA45" i="3"/>
  <c r="AM45" i="3" s="1"/>
  <c r="AB45" i="3"/>
  <c r="AN45" i="3" s="1"/>
  <c r="AC45" i="3"/>
  <c r="AD45" i="3"/>
  <c r="AE45" i="3"/>
  <c r="AF45" i="3"/>
  <c r="AG45" i="3"/>
  <c r="AS45" i="3" s="1"/>
  <c r="AI45" i="3"/>
  <c r="AJ45" i="3"/>
  <c r="AO45" i="3"/>
  <c r="AP45" i="3"/>
  <c r="AQ45" i="3"/>
  <c r="AR45" i="3"/>
  <c r="H46" i="3"/>
  <c r="W46" i="3"/>
  <c r="AI46" i="3" s="1"/>
  <c r="X46" i="3"/>
  <c r="Y46" i="3"/>
  <c r="AK46" i="3" s="1"/>
  <c r="Z46" i="3"/>
  <c r="AL46" i="3" s="1"/>
  <c r="AA46" i="3"/>
  <c r="AB46" i="3"/>
  <c r="AC46" i="3"/>
  <c r="AO46" i="3" s="1"/>
  <c r="AD46" i="3"/>
  <c r="AE46" i="3"/>
  <c r="AQ46" i="3" s="1"/>
  <c r="AF46" i="3"/>
  <c r="AG46" i="3"/>
  <c r="AJ46" i="3"/>
  <c r="AM46" i="3"/>
  <c r="AN46" i="3"/>
  <c r="AP46" i="3"/>
  <c r="AR46" i="3"/>
  <c r="AS46" i="3"/>
  <c r="H47" i="3"/>
  <c r="W47" i="3"/>
  <c r="X47" i="3"/>
  <c r="AJ47" i="3" s="1"/>
  <c r="Y47" i="3"/>
  <c r="Z47" i="3"/>
  <c r="AL47" i="3" s="1"/>
  <c r="AA47" i="3"/>
  <c r="AM47" i="3" s="1"/>
  <c r="AB47" i="3"/>
  <c r="AC47" i="3"/>
  <c r="AO47" i="3" s="1"/>
  <c r="AD47" i="3"/>
  <c r="AP47" i="3" s="1"/>
  <c r="AE47" i="3"/>
  <c r="AF47" i="3"/>
  <c r="AG47" i="3"/>
  <c r="AI47" i="3"/>
  <c r="AK47" i="3"/>
  <c r="AN47" i="3"/>
  <c r="AQ47" i="3"/>
  <c r="AR47" i="3"/>
  <c r="AS47" i="3"/>
  <c r="H48" i="3"/>
  <c r="W48" i="3"/>
  <c r="AI48" i="3" s="1"/>
  <c r="X48" i="3"/>
  <c r="AJ48" i="3" s="1"/>
  <c r="Y48" i="3"/>
  <c r="Z48" i="3"/>
  <c r="AA48" i="3"/>
  <c r="AB48" i="3"/>
  <c r="AN48" i="3" s="1"/>
  <c r="AC48" i="3"/>
  <c r="AD48" i="3"/>
  <c r="AP48" i="3" s="1"/>
  <c r="AE48" i="3"/>
  <c r="AQ48" i="3" s="1"/>
  <c r="AF48" i="3"/>
  <c r="AG48" i="3"/>
  <c r="AK48" i="3"/>
  <c r="AL48" i="3"/>
  <c r="AM48" i="3"/>
  <c r="AO48" i="3"/>
  <c r="AR48" i="3"/>
  <c r="AS48" i="3"/>
  <c r="F49" i="3"/>
  <c r="H49" i="3"/>
  <c r="W49" i="3"/>
  <c r="AI49" i="3" s="1"/>
  <c r="X49" i="3"/>
  <c r="Y49" i="3"/>
  <c r="Z49" i="3"/>
  <c r="AA49" i="3"/>
  <c r="AM49" i="3" s="1"/>
  <c r="AB49" i="3"/>
  <c r="AN49" i="3" s="1"/>
  <c r="AC49" i="3"/>
  <c r="AD49" i="3"/>
  <c r="AP49" i="3" s="1"/>
  <c r="AE49" i="3"/>
  <c r="AQ49" i="3" s="1"/>
  <c r="AF49" i="3"/>
  <c r="AR49" i="3" s="1"/>
  <c r="AG49" i="3"/>
  <c r="AL49" i="3"/>
  <c r="AO49" i="3"/>
  <c r="H50" i="3"/>
  <c r="W50" i="3"/>
  <c r="X50" i="3"/>
  <c r="AJ50" i="3" s="1"/>
  <c r="Y50" i="3"/>
  <c r="Z50" i="3"/>
  <c r="AL50" i="3" s="1"/>
  <c r="AA50" i="3"/>
  <c r="AB50" i="3"/>
  <c r="AN50" i="3" s="1"/>
  <c r="AC50" i="3"/>
  <c r="AO50" i="3" s="1"/>
  <c r="AD50" i="3"/>
  <c r="AE50" i="3"/>
  <c r="AF50" i="3"/>
  <c r="AR50" i="3" s="1"/>
  <c r="AG50" i="3"/>
  <c r="AI50" i="3"/>
  <c r="AK50" i="3"/>
  <c r="AM50" i="3"/>
  <c r="AP50" i="3"/>
  <c r="AQ50" i="3"/>
  <c r="AS50" i="3"/>
  <c r="H61" i="3"/>
  <c r="W61" i="3"/>
  <c r="X61" i="3"/>
  <c r="Y61" i="3"/>
  <c r="Z61" i="3"/>
  <c r="AL61" i="3" s="1"/>
  <c r="AA61" i="3"/>
  <c r="AM61" i="3" s="1"/>
  <c r="AB61" i="3"/>
  <c r="AC61" i="3"/>
  <c r="AD61" i="3"/>
  <c r="AE61" i="3"/>
  <c r="AF61" i="3"/>
  <c r="AG61" i="3"/>
  <c r="AK61" i="3"/>
  <c r="AN61" i="3"/>
  <c r="AO61" i="3"/>
  <c r="AR61" i="3"/>
  <c r="AS61" i="3"/>
  <c r="H62" i="3"/>
  <c r="W62" i="3"/>
  <c r="X62" i="3"/>
  <c r="AJ62" i="3" s="1"/>
  <c r="Y62" i="3"/>
  <c r="Z62" i="3"/>
  <c r="AA62" i="3"/>
  <c r="AM62" i="3" s="1"/>
  <c r="AB62" i="3"/>
  <c r="AC62" i="3"/>
  <c r="AO62" i="3" s="1"/>
  <c r="AD62" i="3"/>
  <c r="AE62" i="3"/>
  <c r="AQ62" i="3" s="1"/>
  <c r="AF62" i="3"/>
  <c r="AR62" i="3" s="1"/>
  <c r="AG62" i="3"/>
  <c r="AI62" i="3"/>
  <c r="AK62" i="3"/>
  <c r="AL62" i="3"/>
  <c r="AP62" i="3"/>
  <c r="AS62" i="3"/>
  <c r="H63" i="3"/>
  <c r="W63" i="3"/>
  <c r="X63" i="3"/>
  <c r="AJ63" i="3" s="1"/>
  <c r="Y63" i="3"/>
  <c r="AK63" i="3" s="1"/>
  <c r="Z63" i="3"/>
  <c r="AL63" i="3" s="1"/>
  <c r="AA63" i="3"/>
  <c r="AB63" i="3"/>
  <c r="AN63" i="3" s="1"/>
  <c r="AC63" i="3"/>
  <c r="AC81" i="3" s="1"/>
  <c r="AC82" i="3" s="1"/>
  <c r="AC83" i="3" s="1"/>
  <c r="AD63" i="3"/>
  <c r="AE63" i="3"/>
  <c r="AF63" i="3"/>
  <c r="AR63" i="3" s="1"/>
  <c r="AG63" i="3"/>
  <c r="AS63" i="3" s="1"/>
  <c r="AI63" i="3"/>
  <c r="AM63" i="3"/>
  <c r="AO63" i="3"/>
  <c r="AP63" i="3"/>
  <c r="AQ63" i="3"/>
  <c r="H64" i="3"/>
  <c r="W64" i="3"/>
  <c r="X64" i="3"/>
  <c r="Y64" i="3"/>
  <c r="Z64" i="3"/>
  <c r="AA64" i="3"/>
  <c r="AB64" i="3"/>
  <c r="AN64" i="3" s="1"/>
  <c r="AC64" i="3"/>
  <c r="AO64" i="3" s="1"/>
  <c r="AD64" i="3"/>
  <c r="AP64" i="3" s="1"/>
  <c r="AE64" i="3"/>
  <c r="AF64" i="3"/>
  <c r="AG64" i="3"/>
  <c r="AS64" i="3" s="1"/>
  <c r="AI64" i="3"/>
  <c r="AJ64" i="3"/>
  <c r="AQ64" i="3"/>
  <c r="AR64" i="3"/>
  <c r="H65" i="3"/>
  <c r="W65" i="3"/>
  <c r="AI65" i="3" s="1"/>
  <c r="X65" i="3"/>
  <c r="Y65" i="3"/>
  <c r="Z65" i="3"/>
  <c r="AA65" i="3"/>
  <c r="AB65" i="3"/>
  <c r="AN65" i="3" s="1"/>
  <c r="AC65" i="3"/>
  <c r="AO65" i="3" s="1"/>
  <c r="AD65" i="3"/>
  <c r="AP65" i="3" s="1"/>
  <c r="AE65" i="3"/>
  <c r="AQ65" i="3" s="1"/>
  <c r="AF65" i="3"/>
  <c r="AR65" i="3" s="1"/>
  <c r="AG65" i="3"/>
  <c r="AJ65" i="3"/>
  <c r="AK65" i="3"/>
  <c r="AL65" i="3"/>
  <c r="AM65" i="3"/>
  <c r="AS65" i="3"/>
  <c r="H66" i="3"/>
  <c r="W66" i="3"/>
  <c r="AI66" i="3" s="1"/>
  <c r="X66" i="3"/>
  <c r="AJ66" i="3" s="1"/>
  <c r="Y66" i="3"/>
  <c r="AK66" i="3" s="1"/>
  <c r="Z66" i="3"/>
  <c r="AA66" i="3"/>
  <c r="AB66" i="3"/>
  <c r="AC66" i="3"/>
  <c r="AD66" i="3"/>
  <c r="AE66" i="3"/>
  <c r="AQ66" i="3" s="1"/>
  <c r="AF66" i="3"/>
  <c r="AR66" i="3" s="1"/>
  <c r="AG66" i="3"/>
  <c r="AS66" i="3" s="1"/>
  <c r="AL66" i="3"/>
  <c r="AM66" i="3"/>
  <c r="AN66" i="3"/>
  <c r="AO66" i="3"/>
  <c r="AP66" i="3"/>
  <c r="H67" i="3"/>
  <c r="W67" i="3"/>
  <c r="X67" i="3"/>
  <c r="AJ67" i="3" s="1"/>
  <c r="Y67" i="3"/>
  <c r="Z67" i="3"/>
  <c r="AL67" i="3" s="1"/>
  <c r="AA67" i="3"/>
  <c r="AB67" i="3"/>
  <c r="AN67" i="3" s="1"/>
  <c r="AC67" i="3"/>
  <c r="AO67" i="3" s="1"/>
  <c r="AD67" i="3"/>
  <c r="AE67" i="3"/>
  <c r="AF67" i="3"/>
  <c r="AG67" i="3"/>
  <c r="AI67" i="3"/>
  <c r="AK67" i="3"/>
  <c r="AM67" i="3"/>
  <c r="AP67" i="3"/>
  <c r="AQ67" i="3"/>
  <c r="AS67" i="3"/>
  <c r="H68" i="3"/>
  <c r="W68" i="3"/>
  <c r="AI68" i="3" s="1"/>
  <c r="X68" i="3"/>
  <c r="Y68" i="3"/>
  <c r="AK68" i="3" s="1"/>
  <c r="Z68" i="3"/>
  <c r="AA68" i="3"/>
  <c r="AB68" i="3"/>
  <c r="AC68" i="3"/>
  <c r="AO68" i="3" s="1"/>
  <c r="AD68" i="3"/>
  <c r="AP68" i="3" s="1"/>
  <c r="AE68" i="3"/>
  <c r="AF68" i="3"/>
  <c r="AR68" i="3" s="1"/>
  <c r="AG68" i="3"/>
  <c r="AS68" i="3" s="1"/>
  <c r="AJ68" i="3"/>
  <c r="AL68" i="3"/>
  <c r="AM68" i="3"/>
  <c r="AN68" i="3"/>
  <c r="AQ68" i="3"/>
  <c r="H69" i="3"/>
  <c r="W69" i="3"/>
  <c r="AI69" i="3" s="1"/>
  <c r="X69" i="3"/>
  <c r="AJ69" i="3" s="1"/>
  <c r="Y69" i="3"/>
  <c r="AK69" i="3" s="1"/>
  <c r="Z69" i="3"/>
  <c r="AL69" i="3" s="1"/>
  <c r="AA69" i="3"/>
  <c r="AM69" i="3" s="1"/>
  <c r="AB69" i="3"/>
  <c r="AC69" i="3"/>
  <c r="AD69" i="3"/>
  <c r="AE69" i="3"/>
  <c r="AF69" i="3"/>
  <c r="AR69" i="3" s="1"/>
  <c r="AG69" i="3"/>
  <c r="AS69" i="3" s="1"/>
  <c r="AN69" i="3"/>
  <c r="AO69" i="3"/>
  <c r="AP69" i="3"/>
  <c r="AQ69" i="3"/>
  <c r="H70" i="3"/>
  <c r="W70" i="3"/>
  <c r="X70" i="3"/>
  <c r="Y70" i="3"/>
  <c r="AK70" i="3" s="1"/>
  <c r="Z70" i="3"/>
  <c r="AL70" i="3" s="1"/>
  <c r="AA70" i="3"/>
  <c r="AM70" i="3" s="1"/>
  <c r="AB70" i="3"/>
  <c r="AC70" i="3"/>
  <c r="AO70" i="3" s="1"/>
  <c r="AD70" i="3"/>
  <c r="AE70" i="3"/>
  <c r="AF70" i="3"/>
  <c r="AR70" i="3" s="1"/>
  <c r="AG70" i="3"/>
  <c r="AI70" i="3"/>
  <c r="AJ70" i="3"/>
  <c r="AN70" i="3"/>
  <c r="AP70" i="3"/>
  <c r="AQ70" i="3"/>
  <c r="AS70" i="3"/>
  <c r="H71" i="3"/>
  <c r="W71" i="3"/>
  <c r="X71" i="3"/>
  <c r="Y71" i="3"/>
  <c r="Z71" i="3"/>
  <c r="AL71" i="3" s="1"/>
  <c r="AA71" i="3"/>
  <c r="AM71" i="3" s="1"/>
  <c r="AB71" i="3"/>
  <c r="AN71" i="3" s="1"/>
  <c r="AC71" i="3"/>
  <c r="AO71" i="3" s="1"/>
  <c r="AD71" i="3"/>
  <c r="AP71" i="3" s="1"/>
  <c r="AE71" i="3"/>
  <c r="AF71" i="3"/>
  <c r="AG71" i="3"/>
  <c r="AI71" i="3"/>
  <c r="AJ71" i="3"/>
  <c r="AK71" i="3"/>
  <c r="AQ71" i="3"/>
  <c r="AR71" i="3"/>
  <c r="AS71" i="3"/>
  <c r="H72" i="3"/>
  <c r="W72" i="3"/>
  <c r="AI72" i="3" s="1"/>
  <c r="X72" i="3"/>
  <c r="Y72" i="3"/>
  <c r="Z72" i="3"/>
  <c r="AA72" i="3"/>
  <c r="AB72" i="3"/>
  <c r="AC72" i="3"/>
  <c r="AO72" i="3" s="1"/>
  <c r="AD72" i="3"/>
  <c r="AP72" i="3" s="1"/>
  <c r="AE72" i="3"/>
  <c r="AQ72" i="3" s="1"/>
  <c r="AF72" i="3"/>
  <c r="AG72" i="3"/>
  <c r="AS72" i="3" s="1"/>
  <c r="AJ72" i="3"/>
  <c r="AK72" i="3"/>
  <c r="AL72" i="3"/>
  <c r="AM72" i="3"/>
  <c r="AN72" i="3"/>
  <c r="AR72" i="3"/>
  <c r="H73" i="3"/>
  <c r="W73" i="3"/>
  <c r="AI73" i="3" s="1"/>
  <c r="X73" i="3"/>
  <c r="AJ73" i="3" s="1"/>
  <c r="Y73" i="3"/>
  <c r="Z73" i="3"/>
  <c r="AL73" i="3" s="1"/>
  <c r="AA73" i="3"/>
  <c r="AB73" i="3"/>
  <c r="AC73" i="3"/>
  <c r="AD73" i="3"/>
  <c r="AP73" i="3" s="1"/>
  <c r="AE73" i="3"/>
  <c r="AQ73" i="3" s="1"/>
  <c r="AF73" i="3"/>
  <c r="AR73" i="3" s="1"/>
  <c r="AG73" i="3"/>
  <c r="AK73" i="3"/>
  <c r="AM73" i="3"/>
  <c r="AN73" i="3"/>
  <c r="AO73" i="3"/>
  <c r="AS73" i="3"/>
  <c r="H74" i="3"/>
  <c r="W74" i="3"/>
  <c r="AI74" i="3" s="1"/>
  <c r="X74" i="3"/>
  <c r="AJ74" i="3" s="1"/>
  <c r="Y74" i="3"/>
  <c r="Z74" i="3"/>
  <c r="AA74" i="3"/>
  <c r="AM74" i="3" s="1"/>
  <c r="AB74" i="3"/>
  <c r="AC74" i="3"/>
  <c r="AO74" i="3" s="1"/>
  <c r="AD74" i="3"/>
  <c r="AE74" i="3"/>
  <c r="AQ74" i="3" s="1"/>
  <c r="AF74" i="3"/>
  <c r="AR74" i="3" s="1"/>
  <c r="AG74" i="3"/>
  <c r="AS74" i="3" s="1"/>
  <c r="AK74" i="3"/>
  <c r="AL74" i="3"/>
  <c r="AN74" i="3"/>
  <c r="AP74" i="3"/>
  <c r="H75" i="3"/>
  <c r="W75" i="3"/>
  <c r="AI75" i="3" s="1"/>
  <c r="X75" i="3"/>
  <c r="Y75" i="3"/>
  <c r="Z75" i="3"/>
  <c r="AA75" i="3"/>
  <c r="AB75" i="3"/>
  <c r="AN75" i="3" s="1"/>
  <c r="AC75" i="3"/>
  <c r="AO75" i="3" s="1"/>
  <c r="AD75" i="3"/>
  <c r="AP75" i="3" s="1"/>
  <c r="AE75" i="3"/>
  <c r="AQ75" i="3" s="1"/>
  <c r="AF75" i="3"/>
  <c r="AG75" i="3"/>
  <c r="AJ75" i="3"/>
  <c r="AK75" i="3"/>
  <c r="AL75" i="3"/>
  <c r="AM75" i="3"/>
  <c r="AR75" i="3"/>
  <c r="AS75" i="3"/>
  <c r="H76" i="3"/>
  <c r="W76" i="3"/>
  <c r="AI76" i="3" s="1"/>
  <c r="X76" i="3"/>
  <c r="AJ76" i="3" s="1"/>
  <c r="Y76" i="3"/>
  <c r="Z76" i="3"/>
  <c r="AA76" i="3"/>
  <c r="AB76" i="3"/>
  <c r="AC76" i="3"/>
  <c r="AO76" i="3" s="1"/>
  <c r="AD76" i="3"/>
  <c r="AP76" i="3" s="1"/>
  <c r="AE76" i="3"/>
  <c r="AQ76" i="3" s="1"/>
  <c r="AF76" i="3"/>
  <c r="AR76" i="3" s="1"/>
  <c r="AG76" i="3"/>
  <c r="AK76" i="3"/>
  <c r="AL76" i="3"/>
  <c r="AM76" i="3"/>
  <c r="AN76" i="3"/>
  <c r="AS76" i="3"/>
  <c r="H77" i="3"/>
  <c r="W77" i="3"/>
  <c r="AI77" i="3" s="1"/>
  <c r="X77" i="3"/>
  <c r="AJ77" i="3" s="1"/>
  <c r="Y77" i="3"/>
  <c r="AK77" i="3" s="1"/>
  <c r="Z77" i="3"/>
  <c r="AA77" i="3"/>
  <c r="AB77" i="3"/>
  <c r="AC77" i="3"/>
  <c r="AD77" i="3"/>
  <c r="AP77" i="3" s="1"/>
  <c r="AE77" i="3"/>
  <c r="AQ77" i="3" s="1"/>
  <c r="AF77" i="3"/>
  <c r="AR77" i="3" s="1"/>
  <c r="AG77" i="3"/>
  <c r="AS77" i="3" s="1"/>
  <c r="AL77" i="3"/>
  <c r="AM77" i="3"/>
  <c r="AN77" i="3"/>
  <c r="AO77" i="3"/>
  <c r="H78" i="3"/>
  <c r="W78" i="3"/>
  <c r="AI78" i="3" s="1"/>
  <c r="X78" i="3"/>
  <c r="AJ78" i="3" s="1"/>
  <c r="Y78" i="3"/>
  <c r="AK78" i="3" s="1"/>
  <c r="Z78" i="3"/>
  <c r="AL78" i="3" s="1"/>
  <c r="AA78" i="3"/>
  <c r="AB78" i="3"/>
  <c r="AC78" i="3"/>
  <c r="AD78" i="3"/>
  <c r="AE78" i="3"/>
  <c r="AQ78" i="3" s="1"/>
  <c r="AF78" i="3"/>
  <c r="AR78" i="3" s="1"/>
  <c r="AG78" i="3"/>
  <c r="AS78" i="3" s="1"/>
  <c r="AM78" i="3"/>
  <c r="AN78" i="3"/>
  <c r="AO78" i="3"/>
  <c r="AP78" i="3"/>
  <c r="H89" i="3"/>
  <c r="W89" i="3"/>
  <c r="X89" i="3"/>
  <c r="Y89" i="3"/>
  <c r="Z89" i="3"/>
  <c r="AL89" i="3" s="1"/>
  <c r="AA89" i="3"/>
  <c r="AM89" i="3" s="1"/>
  <c r="AB89" i="3"/>
  <c r="AN89" i="3" s="1"/>
  <c r="AC89" i="3"/>
  <c r="AD89" i="3"/>
  <c r="AE89" i="3"/>
  <c r="AF89" i="3"/>
  <c r="AG89" i="3"/>
  <c r="AI89" i="3"/>
  <c r="AO89" i="3"/>
  <c r="AP89" i="3"/>
  <c r="AQ89" i="3"/>
  <c r="H90" i="3"/>
  <c r="W90" i="3"/>
  <c r="X90" i="3"/>
  <c r="Y90" i="3"/>
  <c r="Z90" i="3"/>
  <c r="AL90" i="3" s="1"/>
  <c r="AA90" i="3"/>
  <c r="AM90" i="3" s="1"/>
  <c r="AB90" i="3"/>
  <c r="AN90" i="3" s="1"/>
  <c r="AC90" i="3"/>
  <c r="AO90" i="3" s="1"/>
  <c r="AD90" i="3"/>
  <c r="AE90" i="3"/>
  <c r="AF90" i="3"/>
  <c r="AG90" i="3"/>
  <c r="AS90" i="3" s="1"/>
  <c r="AI90" i="3"/>
  <c r="AJ90" i="3"/>
  <c r="AK90" i="3"/>
  <c r="AP90" i="3"/>
  <c r="AQ90" i="3"/>
  <c r="AR90" i="3"/>
  <c r="H91" i="3"/>
  <c r="W91" i="3"/>
  <c r="X91" i="3"/>
  <c r="Y91" i="3"/>
  <c r="Z91" i="3"/>
  <c r="AL91" i="3" s="1"/>
  <c r="AL120" i="3" s="1"/>
  <c r="AA91" i="3"/>
  <c r="AM91" i="3" s="1"/>
  <c r="AB91" i="3"/>
  <c r="AN91" i="3" s="1"/>
  <c r="AC91" i="3"/>
  <c r="AD91" i="3"/>
  <c r="AP91" i="3" s="1"/>
  <c r="AE91" i="3"/>
  <c r="AF91" i="3"/>
  <c r="AG91" i="3"/>
  <c r="AI91" i="3"/>
  <c r="AJ91" i="3"/>
  <c r="AK91" i="3"/>
  <c r="AQ91" i="3"/>
  <c r="AR91" i="3"/>
  <c r="AS91" i="3"/>
  <c r="H92" i="3"/>
  <c r="W92" i="3"/>
  <c r="AI92" i="3" s="1"/>
  <c r="X92" i="3"/>
  <c r="Y92" i="3"/>
  <c r="Z92" i="3"/>
  <c r="AA92" i="3"/>
  <c r="AM92" i="3" s="1"/>
  <c r="AB92" i="3"/>
  <c r="AN92" i="3" s="1"/>
  <c r="AC92" i="3"/>
  <c r="AO92" i="3" s="1"/>
  <c r="AD92" i="3"/>
  <c r="AP92" i="3" s="1"/>
  <c r="AE92" i="3"/>
  <c r="AQ92" i="3" s="1"/>
  <c r="AF92" i="3"/>
  <c r="AG92" i="3"/>
  <c r="AJ92" i="3"/>
  <c r="AK92" i="3"/>
  <c r="AL92" i="3"/>
  <c r="AR92" i="3"/>
  <c r="AS92" i="3"/>
  <c r="H93" i="3"/>
  <c r="W93" i="3"/>
  <c r="X93" i="3"/>
  <c r="AJ93" i="3" s="1"/>
  <c r="Y93" i="3"/>
  <c r="Z93" i="3"/>
  <c r="AA93" i="3"/>
  <c r="AB93" i="3"/>
  <c r="AN93" i="3" s="1"/>
  <c r="AC93" i="3"/>
  <c r="AO93" i="3" s="1"/>
  <c r="AD93" i="3"/>
  <c r="AE93" i="3"/>
  <c r="AF93" i="3"/>
  <c r="AR93" i="3" s="1"/>
  <c r="AG93" i="3"/>
  <c r="AK93" i="3"/>
  <c r="AL93" i="3"/>
  <c r="AM93" i="3"/>
  <c r="AS93" i="3"/>
  <c r="H94" i="3"/>
  <c r="W94" i="3"/>
  <c r="AI94" i="3" s="1"/>
  <c r="X94" i="3"/>
  <c r="AJ94" i="3" s="1"/>
  <c r="Y94" i="3"/>
  <c r="AK94" i="3" s="1"/>
  <c r="Z94" i="3"/>
  <c r="AA94" i="3"/>
  <c r="AB94" i="3"/>
  <c r="AC94" i="3"/>
  <c r="AD94" i="3"/>
  <c r="AP94" i="3" s="1"/>
  <c r="AE94" i="3"/>
  <c r="AQ94" i="3" s="1"/>
  <c r="AF94" i="3"/>
  <c r="AR94" i="3" s="1"/>
  <c r="AG94" i="3"/>
  <c r="AS94" i="3" s="1"/>
  <c r="AL94" i="3"/>
  <c r="AM94" i="3"/>
  <c r="AN94" i="3"/>
  <c r="AO94" i="3"/>
  <c r="H95" i="3"/>
  <c r="W95" i="3"/>
  <c r="AI95" i="3" s="1"/>
  <c r="X95" i="3"/>
  <c r="AJ95" i="3" s="1"/>
  <c r="Y95" i="3"/>
  <c r="AK95" i="3" s="1"/>
  <c r="Z95" i="3"/>
  <c r="AL95" i="3" s="1"/>
  <c r="AA95" i="3"/>
  <c r="AB95" i="3"/>
  <c r="AC95" i="3"/>
  <c r="AD95" i="3"/>
  <c r="AE95" i="3"/>
  <c r="AQ95" i="3" s="1"/>
  <c r="AF95" i="3"/>
  <c r="AR95" i="3" s="1"/>
  <c r="AG95" i="3"/>
  <c r="AS95" i="3" s="1"/>
  <c r="AM95" i="3"/>
  <c r="AN95" i="3"/>
  <c r="AO95" i="3"/>
  <c r="AP95" i="3"/>
  <c r="H96" i="3"/>
  <c r="W96" i="3"/>
  <c r="AI96" i="3" s="1"/>
  <c r="X96" i="3"/>
  <c r="AJ96" i="3" s="1"/>
  <c r="Y96" i="3"/>
  <c r="AK96" i="3" s="1"/>
  <c r="Z96" i="3"/>
  <c r="AL96" i="3" s="1"/>
  <c r="AA96" i="3"/>
  <c r="AM96" i="3" s="1"/>
  <c r="AB96" i="3"/>
  <c r="AC96" i="3"/>
  <c r="AD96" i="3"/>
  <c r="AE96" i="3"/>
  <c r="AF96" i="3"/>
  <c r="AR96" i="3" s="1"/>
  <c r="AG96" i="3"/>
  <c r="AS96" i="3" s="1"/>
  <c r="AN96" i="3"/>
  <c r="AO96" i="3"/>
  <c r="AP96" i="3"/>
  <c r="AQ96" i="3"/>
  <c r="H97" i="3"/>
  <c r="W97" i="3"/>
  <c r="X97" i="3"/>
  <c r="Y97" i="3"/>
  <c r="AK97" i="3" s="1"/>
  <c r="Z97" i="3"/>
  <c r="AL97" i="3" s="1"/>
  <c r="AA97" i="3"/>
  <c r="AB97" i="3"/>
  <c r="AN97" i="3" s="1"/>
  <c r="AC97" i="3"/>
  <c r="AD97" i="3"/>
  <c r="AE97" i="3"/>
  <c r="AF97" i="3"/>
  <c r="AR97" i="3" s="1"/>
  <c r="AG97" i="3"/>
  <c r="AS97" i="3" s="1"/>
  <c r="AI97" i="3"/>
  <c r="AJ97" i="3"/>
  <c r="AO97" i="3"/>
  <c r="AP97" i="3"/>
  <c r="AQ97" i="3"/>
  <c r="H98" i="3"/>
  <c r="W98" i="3"/>
  <c r="X98" i="3"/>
  <c r="Y98" i="3"/>
  <c r="AK98" i="3" s="1"/>
  <c r="Z98" i="3"/>
  <c r="AL98" i="3" s="1"/>
  <c r="AA98" i="3"/>
  <c r="AM98" i="3" s="1"/>
  <c r="AB98" i="3"/>
  <c r="AN98" i="3" s="1"/>
  <c r="AC98" i="3"/>
  <c r="AO98" i="3" s="1"/>
  <c r="AD98" i="3"/>
  <c r="AE98" i="3"/>
  <c r="AF98" i="3"/>
  <c r="AG98" i="3"/>
  <c r="AI98" i="3"/>
  <c r="AJ98" i="3"/>
  <c r="AP98" i="3"/>
  <c r="AQ98" i="3"/>
  <c r="AR98" i="3"/>
  <c r="AS98" i="3"/>
  <c r="H99" i="3"/>
  <c r="W99" i="3"/>
  <c r="X99" i="3"/>
  <c r="Y99" i="3"/>
  <c r="Z99" i="3"/>
  <c r="AA99" i="3"/>
  <c r="AM99" i="3" s="1"/>
  <c r="AB99" i="3"/>
  <c r="AN99" i="3" s="1"/>
  <c r="AC99" i="3"/>
  <c r="AO99" i="3" s="1"/>
  <c r="AD99" i="3"/>
  <c r="AP99" i="3" s="1"/>
  <c r="AE99" i="3"/>
  <c r="AF99" i="3"/>
  <c r="AG99" i="3"/>
  <c r="AI99" i="3"/>
  <c r="AJ99" i="3"/>
  <c r="AK99" i="3"/>
  <c r="AL99" i="3"/>
  <c r="AQ99" i="3"/>
  <c r="AR99" i="3"/>
  <c r="AS99" i="3"/>
  <c r="H100" i="3"/>
  <c r="W100" i="3"/>
  <c r="AI100" i="3" s="1"/>
  <c r="X100" i="3"/>
  <c r="Y100" i="3"/>
  <c r="Z100" i="3"/>
  <c r="AA100" i="3"/>
  <c r="AB100" i="3"/>
  <c r="AN100" i="3" s="1"/>
  <c r="AC100" i="3"/>
  <c r="AO100" i="3" s="1"/>
  <c r="AD100" i="3"/>
  <c r="AP100" i="3" s="1"/>
  <c r="AE100" i="3"/>
  <c r="AQ100" i="3" s="1"/>
  <c r="AF100" i="3"/>
  <c r="AG100" i="3"/>
  <c r="AJ100" i="3"/>
  <c r="AK100" i="3"/>
  <c r="AL100" i="3"/>
  <c r="AM100" i="3"/>
  <c r="AR100" i="3"/>
  <c r="AS100" i="3"/>
  <c r="H101" i="3"/>
  <c r="W101" i="3"/>
  <c r="AI101" i="3" s="1"/>
  <c r="X101" i="3"/>
  <c r="AJ101" i="3" s="1"/>
  <c r="Y101" i="3"/>
  <c r="Z101" i="3"/>
  <c r="AA101" i="3"/>
  <c r="AB101" i="3"/>
  <c r="AC101" i="3"/>
  <c r="AO101" i="3" s="1"/>
  <c r="AD101" i="3"/>
  <c r="AP101" i="3" s="1"/>
  <c r="AE101" i="3"/>
  <c r="AQ101" i="3" s="1"/>
  <c r="AF101" i="3"/>
  <c r="AR101" i="3" s="1"/>
  <c r="AG101" i="3"/>
  <c r="AK101" i="3"/>
  <c r="AL101" i="3"/>
  <c r="AM101" i="3"/>
  <c r="AN101" i="3"/>
  <c r="AS101" i="3"/>
  <c r="H102" i="3"/>
  <c r="W102" i="3"/>
  <c r="AI102" i="3" s="1"/>
  <c r="X102" i="3"/>
  <c r="AJ102" i="3" s="1"/>
  <c r="Y102" i="3"/>
  <c r="AK102" i="3" s="1"/>
  <c r="Z102" i="3"/>
  <c r="AA102" i="3"/>
  <c r="AB102" i="3"/>
  <c r="AC102" i="3"/>
  <c r="AD102" i="3"/>
  <c r="AP102" i="3" s="1"/>
  <c r="AE102" i="3"/>
  <c r="AQ102" i="3" s="1"/>
  <c r="AF102" i="3"/>
  <c r="AR102" i="3" s="1"/>
  <c r="AG102" i="3"/>
  <c r="AS102" i="3" s="1"/>
  <c r="AL102" i="3"/>
  <c r="AM102" i="3"/>
  <c r="AN102" i="3"/>
  <c r="AO102" i="3"/>
  <c r="H103" i="3"/>
  <c r="W103" i="3"/>
  <c r="AI103" i="3" s="1"/>
  <c r="X103" i="3"/>
  <c r="AJ103" i="3" s="1"/>
  <c r="Y103" i="3"/>
  <c r="AK103" i="3" s="1"/>
  <c r="Z103" i="3"/>
  <c r="AL103" i="3" s="1"/>
  <c r="AA103" i="3"/>
  <c r="AB103" i="3"/>
  <c r="AC103" i="3"/>
  <c r="AD103" i="3"/>
  <c r="AE103" i="3"/>
  <c r="AQ103" i="3" s="1"/>
  <c r="AF103" i="3"/>
  <c r="AR103" i="3" s="1"/>
  <c r="AG103" i="3"/>
  <c r="AS103" i="3" s="1"/>
  <c r="AM103" i="3"/>
  <c r="AN103" i="3"/>
  <c r="AO103" i="3"/>
  <c r="AP103" i="3"/>
  <c r="H104" i="3"/>
  <c r="W104" i="3"/>
  <c r="X104" i="3"/>
  <c r="AJ104" i="3" s="1"/>
  <c r="Y104" i="3"/>
  <c r="AK104" i="3" s="1"/>
  <c r="Z104" i="3"/>
  <c r="AL104" i="3" s="1"/>
  <c r="AA104" i="3"/>
  <c r="AM104" i="3" s="1"/>
  <c r="AB104" i="3"/>
  <c r="AC104" i="3"/>
  <c r="AD104" i="3"/>
  <c r="AE104" i="3"/>
  <c r="AQ104" i="3" s="1"/>
  <c r="AF104" i="3"/>
  <c r="AR104" i="3" s="1"/>
  <c r="AG104" i="3"/>
  <c r="AS104" i="3" s="1"/>
  <c r="AI104" i="3"/>
  <c r="AN104" i="3"/>
  <c r="AO104" i="3"/>
  <c r="AP104" i="3"/>
  <c r="H105" i="3"/>
  <c r="W105" i="3"/>
  <c r="X105" i="3"/>
  <c r="AJ105" i="3" s="1"/>
  <c r="Y105" i="3"/>
  <c r="AK105" i="3" s="1"/>
  <c r="Z105" i="3"/>
  <c r="AL105" i="3" s="1"/>
  <c r="AA105" i="3"/>
  <c r="AM105" i="3" s="1"/>
  <c r="AB105" i="3"/>
  <c r="AN105" i="3" s="1"/>
  <c r="AC105" i="3"/>
  <c r="AD105" i="3"/>
  <c r="AE105" i="3"/>
  <c r="AF105" i="3"/>
  <c r="AR105" i="3" s="1"/>
  <c r="AG105" i="3"/>
  <c r="AS105" i="3" s="1"/>
  <c r="AI105" i="3"/>
  <c r="AO105" i="3"/>
  <c r="AP105" i="3"/>
  <c r="AQ105" i="3"/>
  <c r="H106" i="3"/>
  <c r="W106" i="3"/>
  <c r="X106" i="3"/>
  <c r="Y106" i="3"/>
  <c r="Z106" i="3"/>
  <c r="AL106" i="3" s="1"/>
  <c r="AA106" i="3"/>
  <c r="AM106" i="3" s="1"/>
  <c r="AB106" i="3"/>
  <c r="AN106" i="3" s="1"/>
  <c r="AC106" i="3"/>
  <c r="AO106" i="3" s="1"/>
  <c r="AD106" i="3"/>
  <c r="AE106" i="3"/>
  <c r="AF106" i="3"/>
  <c r="AG106" i="3"/>
  <c r="AS106" i="3" s="1"/>
  <c r="AI106" i="3"/>
  <c r="AJ106" i="3"/>
  <c r="AK106" i="3"/>
  <c r="AP106" i="3"/>
  <c r="AQ106" i="3"/>
  <c r="AR106" i="3"/>
  <c r="W107" i="3"/>
  <c r="AI107" i="3" s="1"/>
  <c r="X107" i="3"/>
  <c r="Y107" i="3"/>
  <c r="Z107" i="3"/>
  <c r="AA107" i="3"/>
  <c r="AM107" i="3" s="1"/>
  <c r="AB107" i="3"/>
  <c r="AN107" i="3" s="1"/>
  <c r="AC107" i="3"/>
  <c r="AO107" i="3" s="1"/>
  <c r="AD107" i="3"/>
  <c r="AP107" i="3" s="1"/>
  <c r="AE107" i="3"/>
  <c r="AQ107" i="3" s="1"/>
  <c r="AF107" i="3"/>
  <c r="AG107" i="3"/>
  <c r="AJ107" i="3"/>
  <c r="AK107" i="3"/>
  <c r="AL107" i="3"/>
  <c r="AR107" i="3"/>
  <c r="AS107" i="3"/>
  <c r="H108" i="3"/>
  <c r="W108" i="3"/>
  <c r="AI108" i="3" s="1"/>
  <c r="X108" i="3"/>
  <c r="AJ108" i="3" s="1"/>
  <c r="Y108" i="3"/>
  <c r="Z108" i="3"/>
  <c r="AA108" i="3"/>
  <c r="AB108" i="3"/>
  <c r="AC108" i="3"/>
  <c r="AO108" i="3" s="1"/>
  <c r="AD108" i="3"/>
  <c r="AP108" i="3" s="1"/>
  <c r="AE108" i="3"/>
  <c r="AQ108" i="3" s="1"/>
  <c r="AF108" i="3"/>
  <c r="AR108" i="3" s="1"/>
  <c r="AG108" i="3"/>
  <c r="AK108" i="3"/>
  <c r="AL108" i="3"/>
  <c r="AM108" i="3"/>
  <c r="AN108" i="3"/>
  <c r="AS108" i="3"/>
  <c r="H109" i="3"/>
  <c r="W109" i="3"/>
  <c r="AI109" i="3" s="1"/>
  <c r="X109" i="3"/>
  <c r="AJ109" i="3" s="1"/>
  <c r="Y109" i="3"/>
  <c r="AK109" i="3" s="1"/>
  <c r="Z109" i="3"/>
  <c r="AA109" i="3"/>
  <c r="AB109" i="3"/>
  <c r="AC109" i="3"/>
  <c r="AD109" i="3"/>
  <c r="AP109" i="3" s="1"/>
  <c r="AE109" i="3"/>
  <c r="AQ109" i="3" s="1"/>
  <c r="AF109" i="3"/>
  <c r="AR109" i="3" s="1"/>
  <c r="AG109" i="3"/>
  <c r="AS109" i="3" s="1"/>
  <c r="AL109" i="3"/>
  <c r="AM109" i="3"/>
  <c r="AN109" i="3"/>
  <c r="AO109" i="3"/>
  <c r="H110" i="3"/>
  <c r="W110" i="3"/>
  <c r="AI110" i="3" s="1"/>
  <c r="X110" i="3"/>
  <c r="AJ110" i="3" s="1"/>
  <c r="Y110" i="3"/>
  <c r="AK110" i="3" s="1"/>
  <c r="Z110" i="3"/>
  <c r="AL110" i="3" s="1"/>
  <c r="AA110" i="3"/>
  <c r="AB110" i="3"/>
  <c r="AC110" i="3"/>
  <c r="AD110" i="3"/>
  <c r="AE110" i="3"/>
  <c r="AQ110" i="3" s="1"/>
  <c r="AF110" i="3"/>
  <c r="AR110" i="3" s="1"/>
  <c r="AG110" i="3"/>
  <c r="AS110" i="3" s="1"/>
  <c r="AM110" i="3"/>
  <c r="AN110" i="3"/>
  <c r="AO110" i="3"/>
  <c r="AP110" i="3"/>
  <c r="H111" i="3"/>
  <c r="W111" i="3"/>
  <c r="AI111" i="3" s="1"/>
  <c r="X111" i="3"/>
  <c r="AJ111" i="3" s="1"/>
  <c r="Y111" i="3"/>
  <c r="AK111" i="3" s="1"/>
  <c r="Z111" i="3"/>
  <c r="AL111" i="3" s="1"/>
  <c r="AA111" i="3"/>
  <c r="AM111" i="3" s="1"/>
  <c r="AB111" i="3"/>
  <c r="AC111" i="3"/>
  <c r="AD111" i="3"/>
  <c r="AE111" i="3"/>
  <c r="AQ111" i="3" s="1"/>
  <c r="AF111" i="3"/>
  <c r="AR111" i="3" s="1"/>
  <c r="AG111" i="3"/>
  <c r="AS111" i="3" s="1"/>
  <c r="AN111" i="3"/>
  <c r="AO111" i="3"/>
  <c r="AP111" i="3"/>
  <c r="H112" i="3"/>
  <c r="W112" i="3"/>
  <c r="X112" i="3"/>
  <c r="AJ112" i="3" s="1"/>
  <c r="Y112" i="3"/>
  <c r="AK112" i="3" s="1"/>
  <c r="Z112" i="3"/>
  <c r="AL112" i="3" s="1"/>
  <c r="AA112" i="3"/>
  <c r="AM112" i="3" s="1"/>
  <c r="AB112" i="3"/>
  <c r="AN112" i="3" s="1"/>
  <c r="AC112" i="3"/>
  <c r="AD112" i="3"/>
  <c r="AE112" i="3"/>
  <c r="AF112" i="3"/>
  <c r="AR112" i="3" s="1"/>
  <c r="AG112" i="3"/>
  <c r="AS112" i="3" s="1"/>
  <c r="AI112" i="3"/>
  <c r="AO112" i="3"/>
  <c r="AP112" i="3"/>
  <c r="AQ112" i="3"/>
  <c r="H113" i="3"/>
  <c r="W113" i="3"/>
  <c r="X113" i="3"/>
  <c r="Y113" i="3"/>
  <c r="Z113" i="3"/>
  <c r="AL113" i="3" s="1"/>
  <c r="AA113" i="3"/>
  <c r="AM113" i="3" s="1"/>
  <c r="AB113" i="3"/>
  <c r="AN113" i="3" s="1"/>
  <c r="AC113" i="3"/>
  <c r="AO113" i="3" s="1"/>
  <c r="AD113" i="3"/>
  <c r="AE113" i="3"/>
  <c r="AF113" i="3"/>
  <c r="AG113" i="3"/>
  <c r="AS113" i="3" s="1"/>
  <c r="AI113" i="3"/>
  <c r="AJ113" i="3"/>
  <c r="AK113" i="3"/>
  <c r="AP113" i="3"/>
  <c r="AQ113" i="3"/>
  <c r="AR113" i="3"/>
  <c r="H114" i="3"/>
  <c r="W114" i="3"/>
  <c r="X114" i="3"/>
  <c r="Y114" i="3"/>
  <c r="Z114" i="3"/>
  <c r="AL114" i="3" s="1"/>
  <c r="AA114" i="3"/>
  <c r="AM114" i="3" s="1"/>
  <c r="AB114" i="3"/>
  <c r="AN114" i="3" s="1"/>
  <c r="AC114" i="3"/>
  <c r="AO114" i="3" s="1"/>
  <c r="AD114" i="3"/>
  <c r="AP114" i="3" s="1"/>
  <c r="AE114" i="3"/>
  <c r="AF114" i="3"/>
  <c r="AG114" i="3"/>
  <c r="AI114" i="3"/>
  <c r="AJ114" i="3"/>
  <c r="AK114" i="3"/>
  <c r="AQ114" i="3"/>
  <c r="AR114" i="3"/>
  <c r="AS114" i="3"/>
  <c r="H115" i="3"/>
  <c r="W115" i="3"/>
  <c r="AI115" i="3" s="1"/>
  <c r="X115" i="3"/>
  <c r="Y115" i="3"/>
  <c r="Z115" i="3"/>
  <c r="AA115" i="3"/>
  <c r="AM115" i="3" s="1"/>
  <c r="AB115" i="3"/>
  <c r="AN115" i="3" s="1"/>
  <c r="AC115" i="3"/>
  <c r="AO115" i="3" s="1"/>
  <c r="AD115" i="3"/>
  <c r="AP115" i="3" s="1"/>
  <c r="AE115" i="3"/>
  <c r="AQ115" i="3" s="1"/>
  <c r="AF115" i="3"/>
  <c r="AG115" i="3"/>
  <c r="AJ115" i="3"/>
  <c r="AK115" i="3"/>
  <c r="AL115" i="3"/>
  <c r="AR115" i="3"/>
  <c r="AS115" i="3"/>
  <c r="H116" i="3"/>
  <c r="W116" i="3"/>
  <c r="AI116" i="3" s="1"/>
  <c r="X116" i="3"/>
  <c r="AJ116" i="3" s="1"/>
  <c r="Y116" i="3"/>
  <c r="Z116" i="3"/>
  <c r="AA116" i="3"/>
  <c r="AB116" i="3"/>
  <c r="AN116" i="3" s="1"/>
  <c r="AC116" i="3"/>
  <c r="AO116" i="3" s="1"/>
  <c r="AD116" i="3"/>
  <c r="AP116" i="3" s="1"/>
  <c r="AE116" i="3"/>
  <c r="AQ116" i="3" s="1"/>
  <c r="AF116" i="3"/>
  <c r="AR116" i="3" s="1"/>
  <c r="AG116" i="3"/>
  <c r="AK116" i="3"/>
  <c r="AL116" i="3"/>
  <c r="AM116" i="3"/>
  <c r="AS116" i="3"/>
  <c r="H117" i="3"/>
  <c r="W117" i="3"/>
  <c r="AI117" i="3" s="1"/>
  <c r="X117" i="3"/>
  <c r="AJ117" i="3" s="1"/>
  <c r="Y117" i="3"/>
  <c r="AK117" i="3" s="1"/>
  <c r="Z117" i="3"/>
  <c r="AA117" i="3"/>
  <c r="AB117" i="3"/>
  <c r="AC117" i="3"/>
  <c r="AD117" i="3"/>
  <c r="AP117" i="3" s="1"/>
  <c r="AE117" i="3"/>
  <c r="AQ117" i="3" s="1"/>
  <c r="AF117" i="3"/>
  <c r="AR117" i="3" s="1"/>
  <c r="AG117" i="3"/>
  <c r="AS117" i="3" s="1"/>
  <c r="AL117" i="3"/>
  <c r="AM117" i="3"/>
  <c r="AN117" i="3"/>
  <c r="AO117" i="3"/>
  <c r="H118" i="3"/>
  <c r="W118" i="3"/>
  <c r="AI118" i="3" s="1"/>
  <c r="X118" i="3"/>
  <c r="AJ118" i="3" s="1"/>
  <c r="Y118" i="3"/>
  <c r="AK118" i="3" s="1"/>
  <c r="Z118" i="3"/>
  <c r="AL118" i="3" s="1"/>
  <c r="AA118" i="3"/>
  <c r="AB118" i="3"/>
  <c r="AC118" i="3"/>
  <c r="AD118" i="3"/>
  <c r="AP118" i="3" s="1"/>
  <c r="AE118" i="3"/>
  <c r="AQ118" i="3" s="1"/>
  <c r="AF118" i="3"/>
  <c r="AR118" i="3" s="1"/>
  <c r="AG118" i="3"/>
  <c r="AS118" i="3" s="1"/>
  <c r="AM118" i="3"/>
  <c r="AN118" i="3"/>
  <c r="AO118" i="3"/>
  <c r="H119" i="3"/>
  <c r="W119" i="3"/>
  <c r="X119" i="3"/>
  <c r="Y119" i="3"/>
  <c r="AK119" i="3" s="1"/>
  <c r="Z119" i="3"/>
  <c r="AL119" i="3" s="1"/>
  <c r="AA119" i="3"/>
  <c r="AM119" i="3" s="1"/>
  <c r="AB119" i="3"/>
  <c r="AN119" i="3" s="1"/>
  <c r="AC119" i="3"/>
  <c r="AD119" i="3"/>
  <c r="AE119" i="3"/>
  <c r="AF119" i="3"/>
  <c r="AG119" i="3"/>
  <c r="AI119" i="3"/>
  <c r="AJ119" i="3"/>
  <c r="AO119" i="3"/>
  <c r="AP119" i="3"/>
  <c r="AQ119" i="3"/>
  <c r="AR119" i="3"/>
  <c r="AS119" i="3"/>
  <c r="AB122" i="3"/>
  <c r="AB123" i="3" s="1"/>
  <c r="AB124" i="3" s="1"/>
  <c r="F130" i="3"/>
  <c r="H130" i="3" s="1"/>
  <c r="W130" i="3"/>
  <c r="X130" i="3"/>
  <c r="Y130" i="3"/>
  <c r="AK130" i="3" s="1"/>
  <c r="Z130" i="3"/>
  <c r="AA130" i="3"/>
  <c r="AB130" i="3"/>
  <c r="AC130" i="3"/>
  <c r="AD130" i="3"/>
  <c r="AE130" i="3"/>
  <c r="AF130" i="3"/>
  <c r="AG130" i="3"/>
  <c r="AL130" i="3"/>
  <c r="AN130" i="3"/>
  <c r="AO130" i="3"/>
  <c r="F131" i="3"/>
  <c r="H131" i="3"/>
  <c r="W131" i="3"/>
  <c r="AI131" i="3" s="1"/>
  <c r="X131" i="3"/>
  <c r="AJ131" i="3" s="1"/>
  <c r="Y131" i="3"/>
  <c r="Z131" i="3"/>
  <c r="AA131" i="3"/>
  <c r="AM131" i="3" s="1"/>
  <c r="AB131" i="3"/>
  <c r="AC131" i="3"/>
  <c r="AD131" i="3"/>
  <c r="AP131" i="3" s="1"/>
  <c r="AE131" i="3"/>
  <c r="AQ131" i="3" s="1"/>
  <c r="AF131" i="3"/>
  <c r="AR131" i="3" s="1"/>
  <c r="AG131" i="3"/>
  <c r="AS131" i="3" s="1"/>
  <c r="AL131" i="3"/>
  <c r="AN131" i="3"/>
  <c r="AO131" i="3"/>
  <c r="H132" i="3"/>
  <c r="W132" i="3"/>
  <c r="X132" i="3"/>
  <c r="AJ132" i="3" s="1"/>
  <c r="Y132" i="3"/>
  <c r="Z132" i="3"/>
  <c r="AL132" i="3" s="1"/>
  <c r="AA132" i="3"/>
  <c r="AB132" i="3"/>
  <c r="AN132" i="3" s="1"/>
  <c r="AC132" i="3"/>
  <c r="AD132" i="3"/>
  <c r="AP132" i="3" s="1"/>
  <c r="AE132" i="3"/>
  <c r="AF132" i="3"/>
  <c r="AR132" i="3" s="1"/>
  <c r="AG132" i="3"/>
  <c r="AI132" i="3"/>
  <c r="AK132" i="3"/>
  <c r="AM132" i="3"/>
  <c r="AO132" i="3"/>
  <c r="AQ132" i="3"/>
  <c r="AS132" i="3"/>
  <c r="H133" i="3"/>
  <c r="W133" i="3"/>
  <c r="AI133" i="3" s="1"/>
  <c r="X133" i="3"/>
  <c r="AJ133" i="3" s="1"/>
  <c r="Y133" i="3"/>
  <c r="AK133" i="3" s="1"/>
  <c r="Z133" i="3"/>
  <c r="AA133" i="3"/>
  <c r="AB133" i="3"/>
  <c r="AC133" i="3"/>
  <c r="AD133" i="3"/>
  <c r="AP133" i="3" s="1"/>
  <c r="AE133" i="3"/>
  <c r="AQ133" i="3" s="1"/>
  <c r="AF133" i="3"/>
  <c r="AG133" i="3"/>
  <c r="AS133" i="3" s="1"/>
  <c r="AL133" i="3"/>
  <c r="AM133" i="3"/>
  <c r="AN133" i="3"/>
  <c r="AO133" i="3"/>
  <c r="AR133" i="3"/>
  <c r="F134" i="3"/>
  <c r="G134" i="3"/>
  <c r="H134" i="3" s="1"/>
  <c r="W134" i="3"/>
  <c r="AI134" i="3" s="1"/>
  <c r="X134" i="3"/>
  <c r="AJ134" i="3" s="1"/>
  <c r="Y134" i="3"/>
  <c r="Z134" i="3"/>
  <c r="AL134" i="3" s="1"/>
  <c r="AA134" i="3"/>
  <c r="AB134" i="3"/>
  <c r="AC134" i="3"/>
  <c r="AD134" i="3"/>
  <c r="AE134" i="3"/>
  <c r="AQ134" i="3" s="1"/>
  <c r="AF134" i="3"/>
  <c r="AR134" i="3" s="1"/>
  <c r="AG134" i="3"/>
  <c r="AM134" i="3"/>
  <c r="AO134" i="3"/>
  <c r="AP134" i="3"/>
  <c r="F135" i="3"/>
  <c r="G135" i="3"/>
  <c r="H135" i="3"/>
  <c r="W135" i="3"/>
  <c r="AI135" i="3" s="1"/>
  <c r="X135" i="3"/>
  <c r="AJ135" i="3" s="1"/>
  <c r="Y135" i="3"/>
  <c r="AK135" i="3" s="1"/>
  <c r="Z135" i="3"/>
  <c r="AA135" i="3"/>
  <c r="AM135" i="3" s="1"/>
  <c r="AB135" i="3"/>
  <c r="AC135" i="3"/>
  <c r="AD135" i="3"/>
  <c r="AP135" i="3" s="1"/>
  <c r="AE135" i="3"/>
  <c r="AQ135" i="3" s="1"/>
  <c r="AF135" i="3"/>
  <c r="AG135" i="3"/>
  <c r="AS135" i="3" s="1"/>
  <c r="AL135" i="3"/>
  <c r="AN135" i="3"/>
  <c r="AO135" i="3"/>
  <c r="AR135" i="3"/>
  <c r="F136" i="3"/>
  <c r="AL136" i="3" s="1"/>
  <c r="W136" i="3"/>
  <c r="X136" i="3"/>
  <c r="Y136" i="3"/>
  <c r="AK136" i="3" s="1"/>
  <c r="Z136" i="3"/>
  <c r="AA136" i="3"/>
  <c r="AM136" i="3" s="1"/>
  <c r="AB136" i="3"/>
  <c r="AC136" i="3"/>
  <c r="AO136" i="3" s="1"/>
  <c r="AD136" i="3"/>
  <c r="AE136" i="3"/>
  <c r="AF136" i="3"/>
  <c r="AG136" i="3"/>
  <c r="AJ136" i="3"/>
  <c r="AN136" i="3"/>
  <c r="AP136" i="3"/>
  <c r="AR136" i="3"/>
  <c r="AS136" i="3"/>
  <c r="H137" i="3"/>
  <c r="W137" i="3"/>
  <c r="AI137" i="3" s="1"/>
  <c r="X137" i="3"/>
  <c r="AJ137" i="3" s="1"/>
  <c r="Y137" i="3"/>
  <c r="Z137" i="3"/>
  <c r="AA137" i="3"/>
  <c r="AB137" i="3"/>
  <c r="AC137" i="3"/>
  <c r="AO137" i="3" s="1"/>
  <c r="AD137" i="3"/>
  <c r="AP137" i="3" s="1"/>
  <c r="AE137" i="3"/>
  <c r="AF137" i="3"/>
  <c r="AR137" i="3" s="1"/>
  <c r="AG137" i="3"/>
  <c r="AS137" i="3" s="1"/>
  <c r="AK137" i="3"/>
  <c r="AL137" i="3"/>
  <c r="AM137" i="3"/>
  <c r="AN137" i="3"/>
  <c r="AQ137" i="3"/>
  <c r="H138" i="3"/>
  <c r="W138" i="3"/>
  <c r="AI138" i="3" s="1"/>
  <c r="X138" i="3"/>
  <c r="AJ138" i="3" s="1"/>
  <c r="Y138" i="3"/>
  <c r="AK138" i="3" s="1"/>
  <c r="Z138" i="3"/>
  <c r="AA138" i="3"/>
  <c r="AM138" i="3" s="1"/>
  <c r="AB138" i="3"/>
  <c r="AC138" i="3"/>
  <c r="AD138" i="3"/>
  <c r="AP138" i="3" s="1"/>
  <c r="AE138" i="3"/>
  <c r="AF138" i="3"/>
  <c r="AR138" i="3" s="1"/>
  <c r="AG138" i="3"/>
  <c r="AS138" i="3" s="1"/>
  <c r="AL138" i="3"/>
  <c r="AN138" i="3"/>
  <c r="AO138" i="3"/>
  <c r="AQ138" i="3"/>
  <c r="H139" i="3"/>
  <c r="W139" i="3"/>
  <c r="X139" i="3"/>
  <c r="Y139" i="3"/>
  <c r="AK139" i="3" s="1"/>
  <c r="Z139" i="3"/>
  <c r="AA139" i="3"/>
  <c r="AB139" i="3"/>
  <c r="AN139" i="3" s="1"/>
  <c r="AC139" i="3"/>
  <c r="AD139" i="3"/>
  <c r="AP139" i="3" s="1"/>
  <c r="AE139" i="3"/>
  <c r="AF139" i="3"/>
  <c r="AG139" i="3"/>
  <c r="AI139" i="3"/>
  <c r="AJ139" i="3"/>
  <c r="AO139" i="3"/>
  <c r="AQ139" i="3"/>
  <c r="AR139" i="3"/>
  <c r="AS139" i="3"/>
  <c r="H140" i="3"/>
  <c r="W140" i="3"/>
  <c r="AI140" i="3" s="1"/>
  <c r="X140" i="3"/>
  <c r="Y140" i="3"/>
  <c r="Z140" i="3"/>
  <c r="AA140" i="3"/>
  <c r="AM140" i="3" s="1"/>
  <c r="AB140" i="3"/>
  <c r="AC140" i="3"/>
  <c r="AO140" i="3" s="1"/>
  <c r="AD140" i="3"/>
  <c r="AE140" i="3"/>
  <c r="AF140" i="3"/>
  <c r="AR140" i="3" s="1"/>
  <c r="AG140" i="3"/>
  <c r="AJ140" i="3"/>
  <c r="AK140" i="3"/>
  <c r="AL140" i="3"/>
  <c r="AN140" i="3"/>
  <c r="AP140" i="3"/>
  <c r="AQ140" i="3"/>
  <c r="AS140" i="3"/>
  <c r="H141" i="3"/>
  <c r="W141" i="3"/>
  <c r="X141" i="3"/>
  <c r="AJ141" i="3" s="1"/>
  <c r="Y141" i="3"/>
  <c r="AK141" i="3" s="1"/>
  <c r="Z141" i="3"/>
  <c r="AA141" i="3"/>
  <c r="AB141" i="3"/>
  <c r="AN141" i="3" s="1"/>
  <c r="AC141" i="3"/>
  <c r="AD141" i="3"/>
  <c r="AE141" i="3"/>
  <c r="AF141" i="3"/>
  <c r="AR141" i="3" s="1"/>
  <c r="AG141" i="3"/>
  <c r="AI141" i="3"/>
  <c r="AL141" i="3"/>
  <c r="AM141" i="3"/>
  <c r="AO141" i="3"/>
  <c r="AP141" i="3"/>
  <c r="AQ141" i="3"/>
  <c r="AS141" i="3"/>
  <c r="H142" i="3"/>
  <c r="W142" i="3"/>
  <c r="X142" i="3"/>
  <c r="Y142" i="3"/>
  <c r="AK142" i="3" s="1"/>
  <c r="Z142" i="3"/>
  <c r="AL142" i="3" s="1"/>
  <c r="AA142" i="3"/>
  <c r="AM142" i="3" s="1"/>
  <c r="AB142" i="3"/>
  <c r="AC142" i="3"/>
  <c r="AO142" i="3" s="1"/>
  <c r="AD142" i="3"/>
  <c r="AE142" i="3"/>
  <c r="AQ142" i="3" s="1"/>
  <c r="AF142" i="3"/>
  <c r="AG142" i="3"/>
  <c r="AS142" i="3" s="1"/>
  <c r="AI142" i="3"/>
  <c r="AJ142" i="3"/>
  <c r="AN142" i="3"/>
  <c r="AP142" i="3"/>
  <c r="AR142" i="3"/>
  <c r="H143" i="3"/>
  <c r="W143" i="3"/>
  <c r="X143" i="3"/>
  <c r="Y143" i="3"/>
  <c r="Z143" i="3"/>
  <c r="AL143" i="3" s="1"/>
  <c r="AA143" i="3"/>
  <c r="AM143" i="3" s="1"/>
  <c r="AB143" i="3"/>
  <c r="AN143" i="3" s="1"/>
  <c r="AC143" i="3"/>
  <c r="AO143" i="3" s="1"/>
  <c r="AD143" i="3"/>
  <c r="AE143" i="3"/>
  <c r="AF143" i="3"/>
  <c r="AG143" i="3"/>
  <c r="AI143" i="3"/>
  <c r="AJ143" i="3"/>
  <c r="AK143" i="3"/>
  <c r="AP143" i="3"/>
  <c r="AQ143" i="3"/>
  <c r="AR143" i="3"/>
  <c r="AS143" i="3"/>
  <c r="F144" i="3"/>
  <c r="H144" i="3"/>
  <c r="W144" i="3"/>
  <c r="X144" i="3"/>
  <c r="Y144" i="3"/>
  <c r="Z144" i="3"/>
  <c r="AL144" i="3" s="1"/>
  <c r="AA144" i="3"/>
  <c r="AM144" i="3" s="1"/>
  <c r="AB144" i="3"/>
  <c r="AN144" i="3" s="1"/>
  <c r="AC144" i="3"/>
  <c r="AO144" i="3" s="1"/>
  <c r="AD144" i="3"/>
  <c r="AE144" i="3"/>
  <c r="AF144" i="3"/>
  <c r="AG144" i="3"/>
  <c r="AS144" i="3" s="1"/>
  <c r="AI144" i="3"/>
  <c r="AJ144" i="3"/>
  <c r="AK144" i="3"/>
  <c r="AP144" i="3"/>
  <c r="AQ144" i="3"/>
  <c r="AR144" i="3"/>
  <c r="F145" i="3"/>
  <c r="H145" i="3"/>
  <c r="W145" i="3"/>
  <c r="X145" i="3"/>
  <c r="Y145" i="3"/>
  <c r="AK145" i="3" s="1"/>
  <c r="Z145" i="3"/>
  <c r="AL145" i="3" s="1"/>
  <c r="AA145" i="3"/>
  <c r="AM145" i="3" s="1"/>
  <c r="AB145" i="3"/>
  <c r="AN145" i="3" s="1"/>
  <c r="AC145" i="3"/>
  <c r="AO145" i="3" s="1"/>
  <c r="AD145" i="3"/>
  <c r="AE145" i="3"/>
  <c r="AF145" i="3"/>
  <c r="AG145" i="3"/>
  <c r="AI145" i="3"/>
  <c r="AJ145" i="3"/>
  <c r="AP145" i="3"/>
  <c r="AQ145" i="3"/>
  <c r="AR145" i="3"/>
  <c r="AS145" i="3"/>
  <c r="F146" i="3"/>
  <c r="H146" i="3"/>
  <c r="W146" i="3"/>
  <c r="X146" i="3"/>
  <c r="Y146" i="3"/>
  <c r="AK146" i="3" s="1"/>
  <c r="Z146" i="3"/>
  <c r="AL146" i="3" s="1"/>
  <c r="AA146" i="3"/>
  <c r="AM146" i="3" s="1"/>
  <c r="AB146" i="3"/>
  <c r="AN146" i="3" s="1"/>
  <c r="AC146" i="3"/>
  <c r="AO146" i="3" s="1"/>
  <c r="AD146" i="3"/>
  <c r="AE146" i="3"/>
  <c r="AF146" i="3"/>
  <c r="AG146" i="3"/>
  <c r="AS146" i="3" s="1"/>
  <c r="AI146" i="3"/>
  <c r="AJ146" i="3"/>
  <c r="AP146" i="3"/>
  <c r="AQ146" i="3"/>
  <c r="AR146" i="3"/>
  <c r="F147" i="3"/>
  <c r="H147" i="3"/>
  <c r="W147" i="3"/>
  <c r="X147" i="3"/>
  <c r="Y147" i="3"/>
  <c r="AK147" i="3" s="1"/>
  <c r="Z147" i="3"/>
  <c r="AL147" i="3" s="1"/>
  <c r="AA147" i="3"/>
  <c r="AM147" i="3" s="1"/>
  <c r="AB147" i="3"/>
  <c r="AN147" i="3" s="1"/>
  <c r="AC147" i="3"/>
  <c r="AO147" i="3" s="1"/>
  <c r="AD147" i="3"/>
  <c r="AE147" i="3"/>
  <c r="AF147" i="3"/>
  <c r="AG147" i="3"/>
  <c r="AI147" i="3"/>
  <c r="AJ147" i="3"/>
  <c r="AP147" i="3"/>
  <c r="AQ147" i="3"/>
  <c r="AR147" i="3"/>
  <c r="AS147" i="3"/>
  <c r="F148" i="3"/>
  <c r="H148" i="3"/>
  <c r="W148" i="3"/>
  <c r="X148" i="3"/>
  <c r="Y148" i="3"/>
  <c r="AK148" i="3" s="1"/>
  <c r="Z148" i="3"/>
  <c r="AL148" i="3" s="1"/>
  <c r="AA148" i="3"/>
  <c r="AM148" i="3" s="1"/>
  <c r="AB148" i="3"/>
  <c r="AN148" i="3" s="1"/>
  <c r="AC148" i="3"/>
  <c r="AO148" i="3" s="1"/>
  <c r="AD148" i="3"/>
  <c r="AE148" i="3"/>
  <c r="AF148" i="3"/>
  <c r="AG148" i="3"/>
  <c r="AS148" i="3" s="1"/>
  <c r="AI148" i="3"/>
  <c r="AJ148" i="3"/>
  <c r="AP148" i="3"/>
  <c r="AQ148" i="3"/>
  <c r="AR148" i="3"/>
  <c r="H149" i="3"/>
  <c r="W149" i="3"/>
  <c r="X149" i="3"/>
  <c r="Y149" i="3"/>
  <c r="Z149" i="3"/>
  <c r="AL149" i="3" s="1"/>
  <c r="AA149" i="3"/>
  <c r="AM149" i="3" s="1"/>
  <c r="AB149" i="3"/>
  <c r="AN149" i="3" s="1"/>
  <c r="AC149" i="3"/>
  <c r="AO149" i="3" s="1"/>
  <c r="AD149" i="3"/>
  <c r="AP149" i="3" s="1"/>
  <c r="AE149" i="3"/>
  <c r="AF149" i="3"/>
  <c r="AG149" i="3"/>
  <c r="AI149" i="3"/>
  <c r="AJ149" i="3"/>
  <c r="AK149" i="3"/>
  <c r="AQ149" i="3"/>
  <c r="AR149" i="3"/>
  <c r="AS149" i="3"/>
  <c r="F150" i="3"/>
  <c r="W150" i="3"/>
  <c r="X150" i="3"/>
  <c r="Y150" i="3"/>
  <c r="Z150" i="3"/>
  <c r="AA150" i="3"/>
  <c r="AM150" i="3" s="1"/>
  <c r="AB150" i="3"/>
  <c r="AC150" i="3"/>
  <c r="AO150" i="3" s="1"/>
  <c r="AD150" i="3"/>
  <c r="AP150" i="3" s="1"/>
  <c r="AE150" i="3"/>
  <c r="AF150" i="3"/>
  <c r="AG150" i="3"/>
  <c r="AK150" i="3"/>
  <c r="AQ150" i="3"/>
  <c r="H151" i="3"/>
  <c r="W151" i="3"/>
  <c r="AI151" i="3" s="1"/>
  <c r="X151" i="3"/>
  <c r="Y151" i="3"/>
  <c r="Z151" i="3"/>
  <c r="AA151" i="3"/>
  <c r="AM151" i="3" s="1"/>
  <c r="AB151" i="3"/>
  <c r="AN151" i="3" s="1"/>
  <c r="AC151" i="3"/>
  <c r="AO151" i="3" s="1"/>
  <c r="AD151" i="3"/>
  <c r="AP151" i="3" s="1"/>
  <c r="AE151" i="3"/>
  <c r="AQ151" i="3" s="1"/>
  <c r="AF151" i="3"/>
  <c r="AG151" i="3"/>
  <c r="AJ151" i="3"/>
  <c r="AK151" i="3"/>
  <c r="AL151" i="3"/>
  <c r="AR151" i="3"/>
  <c r="AS151" i="3"/>
  <c r="H152" i="3"/>
  <c r="W152" i="3"/>
  <c r="AI152" i="3" s="1"/>
  <c r="X152" i="3"/>
  <c r="AJ152" i="3" s="1"/>
  <c r="Y152" i="3"/>
  <c r="Z152" i="3"/>
  <c r="AA152" i="3"/>
  <c r="AB152" i="3"/>
  <c r="AN152" i="3" s="1"/>
  <c r="AC152" i="3"/>
  <c r="AO152" i="3" s="1"/>
  <c r="AD152" i="3"/>
  <c r="AP152" i="3" s="1"/>
  <c r="AE152" i="3"/>
  <c r="AQ152" i="3" s="1"/>
  <c r="AF152" i="3"/>
  <c r="AR152" i="3" s="1"/>
  <c r="AG152" i="3"/>
  <c r="AK152" i="3"/>
  <c r="AL152" i="3"/>
  <c r="AM152" i="3"/>
  <c r="AS152" i="3"/>
  <c r="F153" i="3"/>
  <c r="G153" i="3"/>
  <c r="W153" i="3"/>
  <c r="X153" i="3"/>
  <c r="Y153" i="3"/>
  <c r="Z153" i="3"/>
  <c r="AA153" i="3"/>
  <c r="AB153" i="3"/>
  <c r="AC153" i="3"/>
  <c r="AD153" i="3"/>
  <c r="AE153" i="3"/>
  <c r="AF153" i="3"/>
  <c r="AG153" i="3"/>
  <c r="AK153" i="3"/>
  <c r="H154" i="3"/>
  <c r="W154" i="3"/>
  <c r="AI154" i="3" s="1"/>
  <c r="X154" i="3"/>
  <c r="AJ154" i="3" s="1"/>
  <c r="Y154" i="3"/>
  <c r="Z154" i="3"/>
  <c r="AA154" i="3"/>
  <c r="AB154" i="3"/>
  <c r="AN154" i="3" s="1"/>
  <c r="AC154" i="3"/>
  <c r="AO154" i="3" s="1"/>
  <c r="AD154" i="3"/>
  <c r="AP154" i="3" s="1"/>
  <c r="AE154" i="3"/>
  <c r="AQ154" i="3" s="1"/>
  <c r="AF154" i="3"/>
  <c r="AR154" i="3" s="1"/>
  <c r="AG154" i="3"/>
  <c r="AK154" i="3"/>
  <c r="AL154" i="3"/>
  <c r="AM154" i="3"/>
  <c r="AS154" i="3"/>
  <c r="G155" i="3"/>
  <c r="AL155" i="3" s="1"/>
  <c r="W155" i="3"/>
  <c r="AI155" i="3" s="1"/>
  <c r="X155" i="3"/>
  <c r="AJ155" i="3" s="1"/>
  <c r="Y155" i="3"/>
  <c r="Z155" i="3"/>
  <c r="AA155" i="3"/>
  <c r="AB155" i="3"/>
  <c r="AC155" i="3"/>
  <c r="AO155" i="3" s="1"/>
  <c r="AD155" i="3"/>
  <c r="AE155" i="3"/>
  <c r="AQ155" i="3" s="1"/>
  <c r="AF155" i="3"/>
  <c r="AR155" i="3" s="1"/>
  <c r="AG155" i="3"/>
  <c r="AK155" i="3"/>
  <c r="AM155" i="3"/>
  <c r="AN155" i="3"/>
  <c r="H156" i="3"/>
  <c r="W156" i="3"/>
  <c r="AI156" i="3" s="1"/>
  <c r="X156" i="3"/>
  <c r="AJ156" i="3" s="1"/>
  <c r="Y156" i="3"/>
  <c r="AK156" i="3" s="1"/>
  <c r="Z156" i="3"/>
  <c r="AA156" i="3"/>
  <c r="AB156" i="3"/>
  <c r="AC156" i="3"/>
  <c r="AD156" i="3"/>
  <c r="AP156" i="3" s="1"/>
  <c r="AE156" i="3"/>
  <c r="AQ156" i="3" s="1"/>
  <c r="AF156" i="3"/>
  <c r="AR156" i="3" s="1"/>
  <c r="AG156" i="3"/>
  <c r="AS156" i="3" s="1"/>
  <c r="AL156" i="3"/>
  <c r="AM156" i="3"/>
  <c r="AN156" i="3"/>
  <c r="AO156" i="3"/>
  <c r="H157" i="3"/>
  <c r="W157" i="3"/>
  <c r="AI157" i="3" s="1"/>
  <c r="X157" i="3"/>
  <c r="AJ157" i="3" s="1"/>
  <c r="Y157" i="3"/>
  <c r="AK157" i="3" s="1"/>
  <c r="Z157" i="3"/>
  <c r="AL157" i="3" s="1"/>
  <c r="AA157" i="3"/>
  <c r="AB157" i="3"/>
  <c r="AC157" i="3"/>
  <c r="AD157" i="3"/>
  <c r="AP157" i="3" s="1"/>
  <c r="AE157" i="3"/>
  <c r="AQ157" i="3" s="1"/>
  <c r="AF157" i="3"/>
  <c r="AR157" i="3" s="1"/>
  <c r="AG157" i="3"/>
  <c r="AS157" i="3" s="1"/>
  <c r="AM157" i="3"/>
  <c r="AN157" i="3"/>
  <c r="AO157" i="3"/>
  <c r="F158" i="3"/>
  <c r="G158" i="3"/>
  <c r="H158" i="3" s="1"/>
  <c r="W158" i="3"/>
  <c r="AI158" i="3" s="1"/>
  <c r="X158" i="3"/>
  <c r="Y158" i="3"/>
  <c r="Z158" i="3"/>
  <c r="AA158" i="3"/>
  <c r="AB158" i="3"/>
  <c r="AC158" i="3"/>
  <c r="AD158" i="3"/>
  <c r="AE158" i="3"/>
  <c r="AQ158" i="3" s="1"/>
  <c r="AF158" i="3"/>
  <c r="AG158" i="3"/>
  <c r="AN158" i="3"/>
  <c r="AO158" i="3"/>
  <c r="F159" i="3"/>
  <c r="G159" i="3"/>
  <c r="W159" i="3"/>
  <c r="X159" i="3"/>
  <c r="Y159" i="3"/>
  <c r="Z159" i="3"/>
  <c r="AA159" i="3"/>
  <c r="AB159" i="3"/>
  <c r="AC159" i="3"/>
  <c r="AO159" i="3" s="1"/>
  <c r="AD159" i="3"/>
  <c r="AE159" i="3"/>
  <c r="AF159" i="3"/>
  <c r="AG159" i="3"/>
  <c r="F160" i="3"/>
  <c r="AM160" i="3" s="1"/>
  <c r="W160" i="3"/>
  <c r="X160" i="3"/>
  <c r="AJ160" i="3" s="1"/>
  <c r="Y160" i="3"/>
  <c r="Z160" i="3"/>
  <c r="AA160" i="3"/>
  <c r="AB160" i="3"/>
  <c r="AC160" i="3"/>
  <c r="AO160" i="3" s="1"/>
  <c r="AD160" i="3"/>
  <c r="AP160" i="3" s="1"/>
  <c r="AE160" i="3"/>
  <c r="AF160" i="3"/>
  <c r="AR160" i="3" s="1"/>
  <c r="AG160" i="3"/>
  <c r="AK160" i="3"/>
  <c r="AL160" i="3"/>
  <c r="AN160" i="3"/>
  <c r="AS160" i="3"/>
  <c r="F161" i="3"/>
  <c r="H161" i="3"/>
  <c r="W161" i="3"/>
  <c r="AI161" i="3" s="1"/>
  <c r="X161" i="3"/>
  <c r="AJ161" i="3" s="1"/>
  <c r="Y161" i="3"/>
  <c r="Z161" i="3"/>
  <c r="AA161" i="3"/>
  <c r="AB161" i="3"/>
  <c r="AN161" i="3" s="1"/>
  <c r="AC161" i="3"/>
  <c r="AO161" i="3" s="1"/>
  <c r="AD161" i="3"/>
  <c r="AP161" i="3" s="1"/>
  <c r="AE161" i="3"/>
  <c r="AQ161" i="3" s="1"/>
  <c r="AF161" i="3"/>
  <c r="AR161" i="3" s="1"/>
  <c r="AG161" i="3"/>
  <c r="AK161" i="3"/>
  <c r="AL161" i="3"/>
  <c r="AM161" i="3"/>
  <c r="AS161" i="3"/>
  <c r="H162" i="3"/>
  <c r="W162" i="3"/>
  <c r="AI162" i="3" s="1"/>
  <c r="X162" i="3"/>
  <c r="AJ162" i="3" s="1"/>
  <c r="Y162" i="3"/>
  <c r="AK162" i="3" s="1"/>
  <c r="Z162" i="3"/>
  <c r="AA162" i="3"/>
  <c r="AB162" i="3"/>
  <c r="AC162" i="3"/>
  <c r="AD162" i="3"/>
  <c r="AP162" i="3" s="1"/>
  <c r="AE162" i="3"/>
  <c r="AQ162" i="3" s="1"/>
  <c r="AF162" i="3"/>
  <c r="AR162" i="3" s="1"/>
  <c r="AG162" i="3"/>
  <c r="AS162" i="3" s="1"/>
  <c r="AL162" i="3"/>
  <c r="AM162" i="3"/>
  <c r="AN162" i="3"/>
  <c r="AO162" i="3"/>
  <c r="F163" i="3"/>
  <c r="H163" i="3"/>
  <c r="W163" i="3"/>
  <c r="AI163" i="3" s="1"/>
  <c r="X163" i="3"/>
  <c r="Y163" i="3"/>
  <c r="Z163" i="3"/>
  <c r="AA163" i="3"/>
  <c r="AB163" i="3"/>
  <c r="AC163" i="3"/>
  <c r="AD163" i="3"/>
  <c r="AP163" i="3" s="1"/>
  <c r="AE163" i="3"/>
  <c r="AQ163" i="3" s="1"/>
  <c r="AF163" i="3"/>
  <c r="AG163" i="3"/>
  <c r="AN163" i="3"/>
  <c r="AO163" i="3"/>
  <c r="F164" i="3"/>
  <c r="AS164" i="3" s="1"/>
  <c r="G164" i="3"/>
  <c r="W164" i="3"/>
  <c r="X164" i="3"/>
  <c r="Y164" i="3"/>
  <c r="Z164" i="3"/>
  <c r="AA164" i="3"/>
  <c r="AB164" i="3"/>
  <c r="AN164" i="3" s="1"/>
  <c r="AC164" i="3"/>
  <c r="AO164" i="3" s="1"/>
  <c r="AD164" i="3"/>
  <c r="AE164" i="3"/>
  <c r="AF164" i="3"/>
  <c r="AG164" i="3"/>
  <c r="AK164" i="3"/>
  <c r="AL164" i="3"/>
  <c r="AM164" i="3"/>
  <c r="F165" i="3"/>
  <c r="AM165" i="3" s="1"/>
  <c r="W165" i="3"/>
  <c r="X165" i="3"/>
  <c r="AJ165" i="3" s="1"/>
  <c r="Y165" i="3"/>
  <c r="Z165" i="3"/>
  <c r="AA165" i="3"/>
  <c r="AB165" i="3"/>
  <c r="AC165" i="3"/>
  <c r="AO165" i="3" s="1"/>
  <c r="AD165" i="3"/>
  <c r="AP165" i="3" s="1"/>
  <c r="AE165" i="3"/>
  <c r="AF165" i="3"/>
  <c r="AR165" i="3" s="1"/>
  <c r="AG165" i="3"/>
  <c r="AK165" i="3"/>
  <c r="AL165" i="3"/>
  <c r="AN165" i="3"/>
  <c r="AS165" i="3"/>
  <c r="F166" i="3"/>
  <c r="H166" i="3"/>
  <c r="W166" i="3"/>
  <c r="AI166" i="3" s="1"/>
  <c r="X166" i="3"/>
  <c r="AJ166" i="3" s="1"/>
  <c r="Y166" i="3"/>
  <c r="Z166" i="3"/>
  <c r="AA166" i="3"/>
  <c r="AB166" i="3"/>
  <c r="AN166" i="3" s="1"/>
  <c r="AC166" i="3"/>
  <c r="AO166" i="3" s="1"/>
  <c r="AD166" i="3"/>
  <c r="AP166" i="3" s="1"/>
  <c r="AE166" i="3"/>
  <c r="AQ166" i="3" s="1"/>
  <c r="AF166" i="3"/>
  <c r="AR166" i="3" s="1"/>
  <c r="AG166" i="3"/>
  <c r="AK166" i="3"/>
  <c r="AL166" i="3"/>
  <c r="AM166" i="3"/>
  <c r="AS166" i="3"/>
  <c r="F167" i="3"/>
  <c r="H167" i="3"/>
  <c r="W167" i="3"/>
  <c r="X167" i="3"/>
  <c r="Y167" i="3"/>
  <c r="Z167" i="3"/>
  <c r="AA167" i="3"/>
  <c r="AB167" i="3"/>
  <c r="AC167" i="3"/>
  <c r="AO167" i="3" s="1"/>
  <c r="AD167" i="3"/>
  <c r="AP167" i="3" s="1"/>
  <c r="AE167" i="3"/>
  <c r="AF167" i="3"/>
  <c r="AG167" i="3"/>
  <c r="AM167" i="3"/>
  <c r="G168" i="3"/>
  <c r="W168" i="3"/>
  <c r="X168" i="3"/>
  <c r="Y168" i="3"/>
  <c r="Z168" i="3"/>
  <c r="AA168" i="3"/>
  <c r="AB168" i="3"/>
  <c r="AN168" i="3" s="1"/>
  <c r="AC168" i="3"/>
  <c r="AD168" i="3"/>
  <c r="AE168" i="3"/>
  <c r="AF168" i="3"/>
  <c r="AG168" i="3"/>
  <c r="AK168" i="3"/>
  <c r="AL168" i="3"/>
  <c r="F169" i="3"/>
  <c r="AK169" i="3" s="1"/>
  <c r="G169" i="3"/>
  <c r="H169" i="3" s="1"/>
  <c r="W169" i="3"/>
  <c r="AI169" i="3" s="1"/>
  <c r="X169" i="3"/>
  <c r="Y169" i="3"/>
  <c r="Z169" i="3"/>
  <c r="AA169" i="3"/>
  <c r="AB169" i="3"/>
  <c r="AN169" i="3" s="1"/>
  <c r="AC169" i="3"/>
  <c r="AD169" i="3"/>
  <c r="AE169" i="3"/>
  <c r="AQ169" i="3" s="1"/>
  <c r="AF169" i="3"/>
  <c r="AG169" i="3"/>
  <c r="AJ169" i="3"/>
  <c r="AL169" i="3"/>
  <c r="AM169" i="3"/>
  <c r="AS169" i="3"/>
  <c r="H170" i="3"/>
  <c r="W170" i="3"/>
  <c r="AI170" i="3" s="1"/>
  <c r="X170" i="3"/>
  <c r="AJ170" i="3" s="1"/>
  <c r="Y170" i="3"/>
  <c r="Z170" i="3"/>
  <c r="AA170" i="3"/>
  <c r="AB170" i="3"/>
  <c r="AC170" i="3"/>
  <c r="AO170" i="3" s="1"/>
  <c r="AD170" i="3"/>
  <c r="AP170" i="3" s="1"/>
  <c r="AE170" i="3"/>
  <c r="AQ170" i="3" s="1"/>
  <c r="AF170" i="3"/>
  <c r="AR170" i="3" s="1"/>
  <c r="AG170" i="3"/>
  <c r="AK170" i="3"/>
  <c r="AL170" i="3"/>
  <c r="AM170" i="3"/>
  <c r="AN170" i="3"/>
  <c r="AS170" i="3"/>
  <c r="F171" i="3"/>
  <c r="G171" i="3"/>
  <c r="AL171" i="3" s="1"/>
  <c r="W171" i="3"/>
  <c r="X171" i="3"/>
  <c r="Y171" i="3"/>
  <c r="Z171" i="3"/>
  <c r="AA171" i="3"/>
  <c r="AB171" i="3"/>
  <c r="AC171" i="3"/>
  <c r="AD171" i="3"/>
  <c r="AE171" i="3"/>
  <c r="AF171" i="3"/>
  <c r="AG171" i="3"/>
  <c r="F172" i="3"/>
  <c r="AK172" i="3" s="1"/>
  <c r="W172" i="3"/>
  <c r="AI172" i="3" s="1"/>
  <c r="X172" i="3"/>
  <c r="Y172" i="3"/>
  <c r="Z172" i="3"/>
  <c r="AA172" i="3"/>
  <c r="AB172" i="3"/>
  <c r="AN172" i="3" s="1"/>
  <c r="AC172" i="3"/>
  <c r="AO172" i="3" s="1"/>
  <c r="AD172" i="3"/>
  <c r="AE172" i="3"/>
  <c r="AQ172" i="3" s="1"/>
  <c r="AF172" i="3"/>
  <c r="AG172" i="3"/>
  <c r="AJ172" i="3"/>
  <c r="AL172" i="3"/>
  <c r="AM172" i="3"/>
  <c r="AS172" i="3"/>
  <c r="F173" i="3"/>
  <c r="H173" i="3"/>
  <c r="W173" i="3"/>
  <c r="AI173" i="3" s="1"/>
  <c r="X173" i="3"/>
  <c r="Y173" i="3"/>
  <c r="Z173" i="3"/>
  <c r="AA173" i="3"/>
  <c r="AB173" i="3"/>
  <c r="AC173" i="3"/>
  <c r="AO173" i="3" s="1"/>
  <c r="AD173" i="3"/>
  <c r="AP173" i="3" s="1"/>
  <c r="AE173" i="3"/>
  <c r="AQ173" i="3" s="1"/>
  <c r="AF173" i="3"/>
  <c r="AG173" i="3"/>
  <c r="F174" i="3"/>
  <c r="H174" i="3"/>
  <c r="W174" i="3"/>
  <c r="AI174" i="3" s="1"/>
  <c r="X174" i="3"/>
  <c r="Y174" i="3"/>
  <c r="Z174" i="3"/>
  <c r="AA174" i="3"/>
  <c r="AM174" i="3" s="1"/>
  <c r="AB174" i="3"/>
  <c r="AN174" i="3" s="1"/>
  <c r="AC174" i="3"/>
  <c r="AO174" i="3" s="1"/>
  <c r="AD174" i="3"/>
  <c r="AP174" i="3" s="1"/>
  <c r="AE174" i="3"/>
  <c r="AQ174" i="3" s="1"/>
  <c r="AF174" i="3"/>
  <c r="AG174" i="3"/>
  <c r="AJ174" i="3"/>
  <c r="AK174" i="3"/>
  <c r="AL174" i="3"/>
  <c r="AR174" i="3"/>
  <c r="AS174" i="3"/>
  <c r="AG177" i="3"/>
  <c r="AG178" i="3" s="1"/>
  <c r="AG179" i="3" s="1"/>
  <c r="H2" i="4"/>
  <c r="W2" i="4"/>
  <c r="X2" i="4"/>
  <c r="Y2" i="4"/>
  <c r="Z2" i="4"/>
  <c r="AA2" i="4"/>
  <c r="AB2" i="4"/>
  <c r="AC2" i="4"/>
  <c r="AD2" i="4"/>
  <c r="AE2" i="4"/>
  <c r="AF2" i="4"/>
  <c r="AG2" i="4"/>
  <c r="H3" i="4"/>
  <c r="W3" i="4"/>
  <c r="X3" i="4"/>
  <c r="Y3" i="4"/>
  <c r="Z3" i="4"/>
  <c r="AA3" i="4"/>
  <c r="AB3" i="4"/>
  <c r="AC3" i="4"/>
  <c r="AD3" i="4"/>
  <c r="AE3" i="4"/>
  <c r="AF3" i="4"/>
  <c r="AG3" i="4"/>
  <c r="H4" i="4"/>
  <c r="W4" i="4"/>
  <c r="X4" i="4"/>
  <c r="Y4" i="4"/>
  <c r="Z4" i="4"/>
  <c r="AA4" i="4"/>
  <c r="AB4" i="4"/>
  <c r="AC4" i="4"/>
  <c r="AD4" i="4"/>
  <c r="AE4" i="4"/>
  <c r="AF4" i="4"/>
  <c r="AG4" i="4"/>
  <c r="H5" i="4"/>
  <c r="W5" i="4"/>
  <c r="X5" i="4"/>
  <c r="Y5" i="4"/>
  <c r="Z5" i="4"/>
  <c r="AA5" i="4"/>
  <c r="AB5" i="4"/>
  <c r="AC5" i="4"/>
  <c r="AD5" i="4"/>
  <c r="AE5" i="4"/>
  <c r="AF5" i="4"/>
  <c r="AG5" i="4"/>
  <c r="H6" i="4"/>
  <c r="W6" i="4"/>
  <c r="X6" i="4"/>
  <c r="Y6" i="4"/>
  <c r="Z6" i="4"/>
  <c r="AA6" i="4"/>
  <c r="AB6" i="4"/>
  <c r="AC6" i="4"/>
  <c r="AD6" i="4"/>
  <c r="AE6" i="4"/>
  <c r="AF6" i="4"/>
  <c r="AG6" i="4"/>
  <c r="H7" i="4"/>
  <c r="W7" i="4"/>
  <c r="X7" i="4"/>
  <c r="Y7" i="4"/>
  <c r="Z7" i="4"/>
  <c r="AA7" i="4"/>
  <c r="AB7" i="4"/>
  <c r="AC7" i="4"/>
  <c r="AD7" i="4"/>
  <c r="AE7" i="4"/>
  <c r="AF7" i="4"/>
  <c r="AG7" i="4"/>
  <c r="H8" i="4"/>
  <c r="W8" i="4"/>
  <c r="X8" i="4"/>
  <c r="Y8" i="4"/>
  <c r="Z8" i="4"/>
  <c r="AA8" i="4"/>
  <c r="AB8" i="4"/>
  <c r="AC8" i="4"/>
  <c r="AD8" i="4"/>
  <c r="AE8" i="4"/>
  <c r="AF8" i="4"/>
  <c r="AG8" i="4"/>
  <c r="F9" i="4"/>
  <c r="G9" i="4"/>
  <c r="H9" i="4"/>
  <c r="W9" i="4"/>
  <c r="X9" i="4"/>
  <c r="Y9" i="4"/>
  <c r="Z9" i="4"/>
  <c r="AA9" i="4"/>
  <c r="AB9" i="4"/>
  <c r="AC9" i="4"/>
  <c r="AD9" i="4"/>
  <c r="AE9" i="4"/>
  <c r="AF9" i="4"/>
  <c r="AG9" i="4"/>
  <c r="H10" i="4"/>
  <c r="W10" i="4"/>
  <c r="X10" i="4"/>
  <c r="Y10" i="4"/>
  <c r="Z10" i="4"/>
  <c r="AA10" i="4"/>
  <c r="AB10" i="4"/>
  <c r="AC10" i="4"/>
  <c r="AD10" i="4"/>
  <c r="AE10" i="4"/>
  <c r="AF10" i="4"/>
  <c r="AG10" i="4"/>
  <c r="H11" i="4"/>
  <c r="W11" i="4"/>
  <c r="X11" i="4"/>
  <c r="Y11" i="4"/>
  <c r="Z11" i="4"/>
  <c r="AA11" i="4"/>
  <c r="AB11" i="4"/>
  <c r="AC11" i="4"/>
  <c r="AD11" i="4"/>
  <c r="AE11" i="4"/>
  <c r="AF11" i="4"/>
  <c r="AG11" i="4"/>
  <c r="H12" i="4"/>
  <c r="W12" i="4"/>
  <c r="X12" i="4"/>
  <c r="Y12" i="4"/>
  <c r="Z12" i="4"/>
  <c r="AA12" i="4"/>
  <c r="AB12" i="4"/>
  <c r="AC12" i="4"/>
  <c r="AD12" i="4"/>
  <c r="AE12" i="4"/>
  <c r="AF12" i="4"/>
  <c r="AG12" i="4"/>
  <c r="H13" i="4"/>
  <c r="W13" i="4"/>
  <c r="X13" i="4"/>
  <c r="Y13" i="4"/>
  <c r="Z13" i="4"/>
  <c r="AA13" i="4"/>
  <c r="AB13" i="4"/>
  <c r="AC13" i="4"/>
  <c r="AD13" i="4"/>
  <c r="AE13" i="4"/>
  <c r="AF13" i="4"/>
  <c r="AG13" i="4"/>
  <c r="H14" i="4"/>
  <c r="W14" i="4"/>
  <c r="X14" i="4"/>
  <c r="Y14" i="4"/>
  <c r="Z14" i="4"/>
  <c r="AA14" i="4"/>
  <c r="AB14" i="4"/>
  <c r="AC14" i="4"/>
  <c r="AD14" i="4"/>
  <c r="AE14" i="4"/>
  <c r="AF14" i="4"/>
  <c r="AG14" i="4"/>
  <c r="H15" i="4"/>
  <c r="W15" i="4"/>
  <c r="X15" i="4"/>
  <c r="Y15" i="4"/>
  <c r="Z15" i="4"/>
  <c r="AA15" i="4"/>
  <c r="AB15" i="4"/>
  <c r="AC15" i="4"/>
  <c r="AD15" i="4"/>
  <c r="AE15" i="4"/>
  <c r="AF15" i="4"/>
  <c r="AG15" i="4"/>
  <c r="H16" i="4"/>
  <c r="W16" i="4"/>
  <c r="X16" i="4"/>
  <c r="Y16" i="4"/>
  <c r="Z16" i="4"/>
  <c r="AA16" i="4"/>
  <c r="AB16" i="4"/>
  <c r="AC16" i="4"/>
  <c r="AD16" i="4"/>
  <c r="AE16" i="4"/>
  <c r="AF16" i="4"/>
  <c r="AG16" i="4"/>
  <c r="H17" i="4"/>
  <c r="W17" i="4"/>
  <c r="X17" i="4"/>
  <c r="Y17" i="4"/>
  <c r="Z17" i="4"/>
  <c r="AA17" i="4"/>
  <c r="AB17" i="4"/>
  <c r="AC17" i="4"/>
  <c r="AD17" i="4"/>
  <c r="AE17" i="4"/>
  <c r="AF17" i="4"/>
  <c r="AG17" i="4"/>
  <c r="H18" i="4"/>
  <c r="W18" i="4"/>
  <c r="X18" i="4"/>
  <c r="Y18" i="4"/>
  <c r="Z18" i="4"/>
  <c r="AA18" i="4"/>
  <c r="AB18" i="4"/>
  <c r="AC18" i="4"/>
  <c r="AD18" i="4"/>
  <c r="AE18" i="4"/>
  <c r="AF18" i="4"/>
  <c r="AG18" i="4"/>
  <c r="H19" i="4"/>
  <c r="W19" i="4"/>
  <c r="X19" i="4"/>
  <c r="Y19" i="4"/>
  <c r="Z19" i="4"/>
  <c r="AA19" i="4"/>
  <c r="AB19" i="4"/>
  <c r="AC19" i="4"/>
  <c r="AD19" i="4"/>
  <c r="AE19" i="4"/>
  <c r="AF19" i="4"/>
  <c r="AG19" i="4"/>
  <c r="H20" i="4"/>
  <c r="W20" i="4"/>
  <c r="X20" i="4"/>
  <c r="Y20" i="4"/>
  <c r="Z20" i="4"/>
  <c r="AA20" i="4"/>
  <c r="AB20" i="4"/>
  <c r="AC20" i="4"/>
  <c r="AD20" i="4"/>
  <c r="AE20" i="4"/>
  <c r="AF20" i="4"/>
  <c r="AG20" i="4"/>
  <c r="H21" i="4"/>
  <c r="W21" i="4"/>
  <c r="X21" i="4"/>
  <c r="Y21" i="4"/>
  <c r="Z21" i="4"/>
  <c r="AA21" i="4"/>
  <c r="AB21" i="4"/>
  <c r="AC21" i="4"/>
  <c r="AD21" i="4"/>
  <c r="AE21" i="4"/>
  <c r="AF21" i="4"/>
  <c r="AG21" i="4"/>
  <c r="H22" i="4"/>
  <c r="W22" i="4"/>
  <c r="X22" i="4"/>
  <c r="Y22" i="4"/>
  <c r="Z22" i="4"/>
  <c r="AA22" i="4"/>
  <c r="AB22" i="4"/>
  <c r="AC22" i="4"/>
  <c r="AD22" i="4"/>
  <c r="AE22" i="4"/>
  <c r="AF22" i="4"/>
  <c r="AG22" i="4"/>
  <c r="H23" i="4"/>
  <c r="W23" i="4"/>
  <c r="X23" i="4"/>
  <c r="Y23" i="4"/>
  <c r="Z23" i="4"/>
  <c r="AA23" i="4"/>
  <c r="AB23" i="4"/>
  <c r="AC23" i="4"/>
  <c r="AD23" i="4"/>
  <c r="AE23" i="4"/>
  <c r="AF23" i="4"/>
  <c r="AG23" i="4"/>
  <c r="H24" i="4"/>
  <c r="W24" i="4"/>
  <c r="X24" i="4"/>
  <c r="Y24" i="4"/>
  <c r="Z24" i="4"/>
  <c r="AA24" i="4"/>
  <c r="AB24" i="4"/>
  <c r="AC24" i="4"/>
  <c r="AD24" i="4"/>
  <c r="AE24" i="4"/>
  <c r="AF24" i="4"/>
  <c r="AG24" i="4"/>
  <c r="H25" i="4"/>
  <c r="W25" i="4"/>
  <c r="X25" i="4"/>
  <c r="Y25" i="4"/>
  <c r="Z25" i="4"/>
  <c r="AA25" i="4"/>
  <c r="AB25" i="4"/>
  <c r="AC25" i="4"/>
  <c r="AD25" i="4"/>
  <c r="AE25" i="4"/>
  <c r="AF25" i="4"/>
  <c r="AG25" i="4"/>
  <c r="H26" i="4"/>
  <c r="W26" i="4"/>
  <c r="X26" i="4"/>
  <c r="Y26" i="4"/>
  <c r="Z26" i="4"/>
  <c r="AA26" i="4"/>
  <c r="AB26" i="4"/>
  <c r="AC26" i="4"/>
  <c r="AD26" i="4"/>
  <c r="AE26" i="4"/>
  <c r="AF26" i="4"/>
  <c r="AG26" i="4"/>
  <c r="H27" i="4"/>
  <c r="W27" i="4"/>
  <c r="X27" i="4"/>
  <c r="Y27" i="4"/>
  <c r="Z27" i="4"/>
  <c r="AA27" i="4"/>
  <c r="AB27" i="4"/>
  <c r="AC27" i="4"/>
  <c r="AD27" i="4"/>
  <c r="AE27" i="4"/>
  <c r="AF27" i="4"/>
  <c r="AG27" i="4"/>
  <c r="H28" i="4"/>
  <c r="W28" i="4"/>
  <c r="X28" i="4"/>
  <c r="Y28" i="4"/>
  <c r="Z28" i="4"/>
  <c r="AA28" i="4"/>
  <c r="AB28" i="4"/>
  <c r="AC28" i="4"/>
  <c r="AD28" i="4"/>
  <c r="AE28" i="4"/>
  <c r="AF28" i="4"/>
  <c r="AG28" i="4"/>
  <c r="H29" i="4"/>
  <c r="W29" i="4"/>
  <c r="X29" i="4"/>
  <c r="Y29" i="4"/>
  <c r="Z29" i="4"/>
  <c r="AA29" i="4"/>
  <c r="AB29" i="4"/>
  <c r="AC29" i="4"/>
  <c r="AD29" i="4"/>
  <c r="AE29" i="4"/>
  <c r="AF29" i="4"/>
  <c r="AG29" i="4"/>
  <c r="H30" i="4"/>
  <c r="W30" i="4"/>
  <c r="X30" i="4"/>
  <c r="Y30" i="4"/>
  <c r="Z30" i="4"/>
  <c r="AA30" i="4"/>
  <c r="AB30" i="4"/>
  <c r="AC30" i="4"/>
  <c r="AD30" i="4"/>
  <c r="AE30" i="4"/>
  <c r="AF30" i="4"/>
  <c r="AG30" i="4"/>
  <c r="H31" i="4"/>
  <c r="W31" i="4"/>
  <c r="X31" i="4"/>
  <c r="Y31" i="4"/>
  <c r="Z31" i="4"/>
  <c r="AA31" i="4"/>
  <c r="AB31" i="4"/>
  <c r="AC31" i="4"/>
  <c r="AD31" i="4"/>
  <c r="AE31" i="4"/>
  <c r="AF31" i="4"/>
  <c r="AG31" i="4"/>
  <c r="H32" i="4"/>
  <c r="W32" i="4"/>
  <c r="X32" i="4"/>
  <c r="Y32" i="4"/>
  <c r="Z32" i="4"/>
  <c r="AA32" i="4"/>
  <c r="AB32" i="4"/>
  <c r="AC32" i="4"/>
  <c r="AD32" i="4"/>
  <c r="AE32" i="4"/>
  <c r="AF32" i="4"/>
  <c r="AG32" i="4"/>
  <c r="H33" i="4"/>
  <c r="W33" i="4"/>
  <c r="X33" i="4"/>
  <c r="Y33" i="4"/>
  <c r="Z33" i="4"/>
  <c r="AA33" i="4"/>
  <c r="AB33" i="4"/>
  <c r="AC33" i="4"/>
  <c r="AD33" i="4"/>
  <c r="AE33" i="4"/>
  <c r="AF33" i="4"/>
  <c r="AG33" i="4"/>
  <c r="W34" i="4"/>
  <c r="X34" i="4"/>
  <c r="Y34" i="4"/>
  <c r="Z34" i="4"/>
  <c r="AA34" i="4"/>
  <c r="AB34" i="4"/>
  <c r="AC34" i="4"/>
  <c r="AD34" i="4"/>
  <c r="AE34" i="4"/>
  <c r="AF34" i="4"/>
  <c r="AG34" i="4"/>
  <c r="H35" i="4"/>
  <c r="W35" i="4"/>
  <c r="X35" i="4"/>
  <c r="Y35" i="4"/>
  <c r="Z35" i="4"/>
  <c r="AA35" i="4"/>
  <c r="AB35" i="4"/>
  <c r="AC35" i="4"/>
  <c r="AD35" i="4"/>
  <c r="AE35" i="4"/>
  <c r="AF35" i="4"/>
  <c r="AG35" i="4"/>
  <c r="H36" i="4"/>
  <c r="W36" i="4"/>
  <c r="X36" i="4"/>
  <c r="Y36" i="4"/>
  <c r="Z36" i="4"/>
  <c r="AA36" i="4"/>
  <c r="AB36" i="4"/>
  <c r="AC36" i="4"/>
  <c r="AD36" i="4"/>
  <c r="AE36" i="4"/>
  <c r="AF36" i="4"/>
  <c r="AG36" i="4"/>
  <c r="H37" i="4"/>
  <c r="W37" i="4"/>
  <c r="X37" i="4"/>
  <c r="Y37" i="4"/>
  <c r="Z37" i="4"/>
  <c r="AA37" i="4"/>
  <c r="AB37" i="4"/>
  <c r="AC37" i="4"/>
  <c r="AD37" i="4"/>
  <c r="AE37" i="4"/>
  <c r="AF37" i="4"/>
  <c r="AG37" i="4"/>
  <c r="H38" i="4"/>
  <c r="W38" i="4"/>
  <c r="X38" i="4"/>
  <c r="Y38" i="4"/>
  <c r="Z38" i="4"/>
  <c r="AA38" i="4"/>
  <c r="AB38" i="4"/>
  <c r="AC38" i="4"/>
  <c r="AD38" i="4"/>
  <c r="AE38" i="4"/>
  <c r="AF38" i="4"/>
  <c r="AG38" i="4"/>
  <c r="F39" i="4"/>
  <c r="H39" i="4"/>
  <c r="W39" i="4"/>
  <c r="X39" i="4"/>
  <c r="Y39" i="4"/>
  <c r="Z39" i="4"/>
  <c r="AA39" i="4"/>
  <c r="AB39" i="4"/>
  <c r="AC39" i="4"/>
  <c r="AD39" i="4"/>
  <c r="AE39" i="4"/>
  <c r="AF39" i="4"/>
  <c r="AG39" i="4"/>
  <c r="H40" i="4"/>
  <c r="W40" i="4"/>
  <c r="X40" i="4"/>
  <c r="Y40" i="4"/>
  <c r="Z40" i="4"/>
  <c r="AA40" i="4"/>
  <c r="AB40" i="4"/>
  <c r="AC40" i="4"/>
  <c r="AD40" i="4"/>
  <c r="AE40" i="4"/>
  <c r="AF40" i="4"/>
  <c r="AG40" i="4"/>
  <c r="H41" i="4"/>
  <c r="W41" i="4"/>
  <c r="X41" i="4"/>
  <c r="Y41" i="4"/>
  <c r="Z41" i="4"/>
  <c r="AA41" i="4"/>
  <c r="AB41" i="4"/>
  <c r="AC41" i="4"/>
  <c r="AD41" i="4"/>
  <c r="AE41" i="4"/>
  <c r="AF41" i="4"/>
  <c r="AG41" i="4"/>
  <c r="H42" i="4"/>
  <c r="W42" i="4"/>
  <c r="X42" i="4"/>
  <c r="Y42" i="4"/>
  <c r="Z42" i="4"/>
  <c r="AA42" i="4"/>
  <c r="AB42" i="4"/>
  <c r="AC42" i="4"/>
  <c r="AD42" i="4"/>
  <c r="AE42" i="4"/>
  <c r="AF42" i="4"/>
  <c r="AG42" i="4"/>
  <c r="H43" i="4"/>
  <c r="W43" i="4"/>
  <c r="X43" i="4"/>
  <c r="Y43" i="4"/>
  <c r="Z43" i="4"/>
  <c r="AA43" i="4"/>
  <c r="AB43" i="4"/>
  <c r="AC43" i="4"/>
  <c r="AD43" i="4"/>
  <c r="AE43" i="4"/>
  <c r="AF43" i="4"/>
  <c r="AG43" i="4"/>
  <c r="H44" i="4"/>
  <c r="W44" i="4"/>
  <c r="X44" i="4"/>
  <c r="Y44" i="4"/>
  <c r="Z44" i="4"/>
  <c r="AA44" i="4"/>
  <c r="AB44" i="4"/>
  <c r="AC44" i="4"/>
  <c r="AD44" i="4"/>
  <c r="AE44" i="4"/>
  <c r="AF44" i="4"/>
  <c r="AG44" i="4"/>
  <c r="H45" i="4"/>
  <c r="W45" i="4"/>
  <c r="X45" i="4"/>
  <c r="Y45" i="4"/>
  <c r="Z45" i="4"/>
  <c r="AA45" i="4"/>
  <c r="AB45" i="4"/>
  <c r="AC45" i="4"/>
  <c r="AD45" i="4"/>
  <c r="AE45" i="4"/>
  <c r="AF45" i="4"/>
  <c r="AG45" i="4"/>
  <c r="H46" i="4"/>
  <c r="W46" i="4"/>
  <c r="X46" i="4"/>
  <c r="Y46" i="4"/>
  <c r="Z46" i="4"/>
  <c r="AA46" i="4"/>
  <c r="AB46" i="4"/>
  <c r="AC46" i="4"/>
  <c r="AD46" i="4"/>
  <c r="AE46" i="4"/>
  <c r="AF46" i="4"/>
  <c r="AG46" i="4"/>
  <c r="H47" i="4"/>
  <c r="W47" i="4"/>
  <c r="X47" i="4"/>
  <c r="Y47" i="4"/>
  <c r="Z47" i="4"/>
  <c r="AA47" i="4"/>
  <c r="AB47" i="4"/>
  <c r="AC47" i="4"/>
  <c r="AD47" i="4"/>
  <c r="AE47" i="4"/>
  <c r="AF47" i="4"/>
  <c r="AG47" i="4"/>
  <c r="H48" i="4"/>
  <c r="W48" i="4"/>
  <c r="X48" i="4"/>
  <c r="Y48" i="4"/>
  <c r="Z48" i="4"/>
  <c r="AA48" i="4"/>
  <c r="AB48" i="4"/>
  <c r="AC48" i="4"/>
  <c r="AD48" i="4"/>
  <c r="AE48" i="4"/>
  <c r="AF48" i="4"/>
  <c r="AG48" i="4"/>
  <c r="H49" i="4"/>
  <c r="W49" i="4"/>
  <c r="X49" i="4"/>
  <c r="Y49" i="4"/>
  <c r="Z49" i="4"/>
  <c r="AA49" i="4"/>
  <c r="AB49" i="4"/>
  <c r="AC49" i="4"/>
  <c r="AD49" i="4"/>
  <c r="AE49" i="4"/>
  <c r="AF49" i="4"/>
  <c r="AG49" i="4"/>
  <c r="H50" i="4"/>
  <c r="W50" i="4"/>
  <c r="X50" i="4"/>
  <c r="Y50" i="4"/>
  <c r="Z50" i="4"/>
  <c r="AA50" i="4"/>
  <c r="AB50" i="4"/>
  <c r="AC50" i="4"/>
  <c r="AD50" i="4"/>
  <c r="AE50" i="4"/>
  <c r="AF50" i="4"/>
  <c r="AG50" i="4"/>
  <c r="H51" i="4"/>
  <c r="W51" i="4"/>
  <c r="X51" i="4"/>
  <c r="Y51" i="4"/>
  <c r="Z51" i="4"/>
  <c r="AA51" i="4"/>
  <c r="AB51" i="4"/>
  <c r="AC51" i="4"/>
  <c r="AD51" i="4"/>
  <c r="AE51" i="4"/>
  <c r="AF51" i="4"/>
  <c r="AG51" i="4"/>
  <c r="H52" i="4"/>
  <c r="W52" i="4"/>
  <c r="X52" i="4"/>
  <c r="Y52" i="4"/>
  <c r="Z52" i="4"/>
  <c r="AA52" i="4"/>
  <c r="AB52" i="4"/>
  <c r="AC52" i="4"/>
  <c r="AD52" i="4"/>
  <c r="AE52" i="4"/>
  <c r="AF52" i="4"/>
  <c r="AG52" i="4"/>
  <c r="H53" i="4"/>
  <c r="W53" i="4"/>
  <c r="X53" i="4"/>
  <c r="Y53" i="4"/>
  <c r="Z53" i="4"/>
  <c r="AA53" i="4"/>
  <c r="AB53" i="4"/>
  <c r="AC53" i="4"/>
  <c r="AD53" i="4"/>
  <c r="AE53" i="4"/>
  <c r="AF53" i="4"/>
  <c r="AG53" i="4"/>
  <c r="H54" i="4"/>
  <c r="W54" i="4"/>
  <c r="X54" i="4"/>
  <c r="Y54" i="4"/>
  <c r="Z54" i="4"/>
  <c r="AA54" i="4"/>
  <c r="AB54" i="4"/>
  <c r="AC54" i="4"/>
  <c r="AD54" i="4"/>
  <c r="AE54" i="4"/>
  <c r="AF54" i="4"/>
  <c r="AG54" i="4"/>
  <c r="H55" i="4"/>
  <c r="W55" i="4"/>
  <c r="X55" i="4"/>
  <c r="Y55" i="4"/>
  <c r="Z55" i="4"/>
  <c r="AA55" i="4"/>
  <c r="AB55" i="4"/>
  <c r="AC55" i="4"/>
  <c r="AD55" i="4"/>
  <c r="AE55" i="4"/>
  <c r="AF55" i="4"/>
  <c r="AG55" i="4"/>
  <c r="H56" i="4"/>
  <c r="W56" i="4"/>
  <c r="X56" i="4"/>
  <c r="Y56" i="4"/>
  <c r="Z56" i="4"/>
  <c r="AA56" i="4"/>
  <c r="AB56" i="4"/>
  <c r="AC56" i="4"/>
  <c r="AD56" i="4"/>
  <c r="AE56" i="4"/>
  <c r="AF56" i="4"/>
  <c r="AG56" i="4"/>
  <c r="H57" i="4"/>
  <c r="W57" i="4"/>
  <c r="X57" i="4"/>
  <c r="Y57" i="4"/>
  <c r="Z57" i="4"/>
  <c r="AA57" i="4"/>
  <c r="AB57" i="4"/>
  <c r="AC57" i="4"/>
  <c r="AD57" i="4"/>
  <c r="AE57" i="4"/>
  <c r="AF57" i="4"/>
  <c r="AG57" i="4"/>
  <c r="H58" i="4"/>
  <c r="W58" i="4"/>
  <c r="X58" i="4"/>
  <c r="Y58" i="4"/>
  <c r="Z58" i="4"/>
  <c r="AA58" i="4"/>
  <c r="AB58" i="4"/>
  <c r="AC58" i="4"/>
  <c r="AD58" i="4"/>
  <c r="AE58" i="4"/>
  <c r="AF58" i="4"/>
  <c r="AG58" i="4"/>
  <c r="H59" i="4"/>
  <c r="W59" i="4"/>
  <c r="X59" i="4"/>
  <c r="Y59" i="4"/>
  <c r="Z59" i="4"/>
  <c r="AA59" i="4"/>
  <c r="AB59" i="4"/>
  <c r="AC59" i="4"/>
  <c r="AD59" i="4"/>
  <c r="AE59" i="4"/>
  <c r="AF59" i="4"/>
  <c r="AG59" i="4"/>
  <c r="H60" i="4"/>
  <c r="W60" i="4"/>
  <c r="X60" i="4"/>
  <c r="Y60" i="4"/>
  <c r="Z60" i="4"/>
  <c r="AA60" i="4"/>
  <c r="AB60" i="4"/>
  <c r="AC60" i="4"/>
  <c r="AD60" i="4"/>
  <c r="AE60" i="4"/>
  <c r="AF60" i="4"/>
  <c r="AG60" i="4"/>
  <c r="H61" i="4"/>
  <c r="W61" i="4"/>
  <c r="X61" i="4"/>
  <c r="Y61" i="4"/>
  <c r="Z61" i="4"/>
  <c r="AA61" i="4"/>
  <c r="AB61" i="4"/>
  <c r="AC61" i="4"/>
  <c r="AD61" i="4"/>
  <c r="AE61" i="4"/>
  <c r="AF61" i="4"/>
  <c r="AG61" i="4"/>
  <c r="H62" i="4"/>
  <c r="W62" i="4"/>
  <c r="X62" i="4"/>
  <c r="Y62" i="4"/>
  <c r="Z62" i="4"/>
  <c r="AA62" i="4"/>
  <c r="AB62" i="4"/>
  <c r="AC62" i="4"/>
  <c r="AD62" i="4"/>
  <c r="AE62" i="4"/>
  <c r="AF62" i="4"/>
  <c r="AG62" i="4"/>
  <c r="H63" i="4"/>
  <c r="W63" i="4"/>
  <c r="X63" i="4"/>
  <c r="Y63" i="4"/>
  <c r="Z63" i="4"/>
  <c r="AA63" i="4"/>
  <c r="AB63" i="4"/>
  <c r="AC63" i="4"/>
  <c r="AD63" i="4"/>
  <c r="AE63" i="4"/>
  <c r="AF63" i="4"/>
  <c r="AG63" i="4"/>
  <c r="H64" i="4"/>
  <c r="W64" i="4"/>
  <c r="X64" i="4"/>
  <c r="Y64" i="4"/>
  <c r="Z64" i="4"/>
  <c r="AA64" i="4"/>
  <c r="AB64" i="4"/>
  <c r="AC64" i="4"/>
  <c r="AD64" i="4"/>
  <c r="AE64" i="4"/>
  <c r="AF64" i="4"/>
  <c r="AG64" i="4"/>
  <c r="H65" i="4"/>
  <c r="W65" i="4"/>
  <c r="X65" i="4"/>
  <c r="Y65" i="4"/>
  <c r="Z65" i="4"/>
  <c r="AA65" i="4"/>
  <c r="AB65" i="4"/>
  <c r="AC65" i="4"/>
  <c r="AD65" i="4"/>
  <c r="AE65" i="4"/>
  <c r="AF65" i="4"/>
  <c r="AG65" i="4"/>
  <c r="H66" i="4"/>
  <c r="W66" i="4"/>
  <c r="X66" i="4"/>
  <c r="Y66" i="4"/>
  <c r="Z66" i="4"/>
  <c r="AA66" i="4"/>
  <c r="AB66" i="4"/>
  <c r="AC66" i="4"/>
  <c r="AD66" i="4"/>
  <c r="AE66" i="4"/>
  <c r="AF66" i="4"/>
  <c r="AG66" i="4"/>
  <c r="H67" i="4"/>
  <c r="W67" i="4"/>
  <c r="X67" i="4"/>
  <c r="Y67" i="4"/>
  <c r="Z67" i="4"/>
  <c r="AA67" i="4"/>
  <c r="AB67" i="4"/>
  <c r="AC67" i="4"/>
  <c r="AD67" i="4"/>
  <c r="AE67" i="4"/>
  <c r="AF67" i="4"/>
  <c r="AG67" i="4"/>
  <c r="H68" i="4"/>
  <c r="W68" i="4"/>
  <c r="X68" i="4"/>
  <c r="Y68" i="4"/>
  <c r="Z68" i="4"/>
  <c r="AA68" i="4"/>
  <c r="AB68" i="4"/>
  <c r="AC68" i="4"/>
  <c r="AD68" i="4"/>
  <c r="AE68" i="4"/>
  <c r="AF68" i="4"/>
  <c r="AG68" i="4"/>
  <c r="H69" i="4"/>
  <c r="W69" i="4"/>
  <c r="X69" i="4"/>
  <c r="Y69" i="4"/>
  <c r="Z69" i="4"/>
  <c r="AA69" i="4"/>
  <c r="AB69" i="4"/>
  <c r="AC69" i="4"/>
  <c r="AD69" i="4"/>
  <c r="AE69" i="4"/>
  <c r="AF69" i="4"/>
  <c r="AG69" i="4"/>
  <c r="H70" i="4"/>
  <c r="W70" i="4"/>
  <c r="X70" i="4"/>
  <c r="Y70" i="4"/>
  <c r="Z70" i="4"/>
  <c r="AA70" i="4"/>
  <c r="AB70" i="4"/>
  <c r="AC70" i="4"/>
  <c r="AD70" i="4"/>
  <c r="AE70" i="4"/>
  <c r="AF70" i="4"/>
  <c r="AG70" i="4"/>
  <c r="H71" i="4"/>
  <c r="W71" i="4"/>
  <c r="X71" i="4"/>
  <c r="Y71" i="4"/>
  <c r="Z71" i="4"/>
  <c r="AA71" i="4"/>
  <c r="AB71" i="4"/>
  <c r="AC71" i="4"/>
  <c r="AD71" i="4"/>
  <c r="AE71" i="4"/>
  <c r="AF71" i="4"/>
  <c r="AG71" i="4"/>
  <c r="H72" i="4"/>
  <c r="W72" i="4"/>
  <c r="X72" i="4"/>
  <c r="Y72" i="4"/>
  <c r="Z72" i="4"/>
  <c r="AA72" i="4"/>
  <c r="AB72" i="4"/>
  <c r="AC72" i="4"/>
  <c r="AD72" i="4"/>
  <c r="AE72" i="4"/>
  <c r="AF72" i="4"/>
  <c r="AG72" i="4"/>
  <c r="H73" i="4"/>
  <c r="W73" i="4"/>
  <c r="X73" i="4"/>
  <c r="Y73" i="4"/>
  <c r="Z73" i="4"/>
  <c r="AA73" i="4"/>
  <c r="AB73" i="4"/>
  <c r="AC73" i="4"/>
  <c r="AD73" i="4"/>
  <c r="AE73" i="4"/>
  <c r="AF73" i="4"/>
  <c r="AG73" i="4"/>
  <c r="H74" i="4"/>
  <c r="W74" i="4"/>
  <c r="X74" i="4"/>
  <c r="Y74" i="4"/>
  <c r="Z74" i="4"/>
  <c r="AA74" i="4"/>
  <c r="AB74" i="4"/>
  <c r="AC74" i="4"/>
  <c r="AD74" i="4"/>
  <c r="AE74" i="4"/>
  <c r="AF74" i="4"/>
  <c r="AG74" i="4"/>
  <c r="H75" i="4"/>
  <c r="W75" i="4"/>
  <c r="X75" i="4"/>
  <c r="Y75" i="4"/>
  <c r="Z75" i="4"/>
  <c r="AA75" i="4"/>
  <c r="AB75" i="4"/>
  <c r="AC75" i="4"/>
  <c r="AD75" i="4"/>
  <c r="AE75" i="4"/>
  <c r="AF75" i="4"/>
  <c r="AG75" i="4"/>
  <c r="H76" i="4"/>
  <c r="W76" i="4"/>
  <c r="X76" i="4"/>
  <c r="Y76" i="4"/>
  <c r="Z76" i="4"/>
  <c r="AA76" i="4"/>
  <c r="AB76" i="4"/>
  <c r="AC76" i="4"/>
  <c r="AD76" i="4"/>
  <c r="AE76" i="4"/>
  <c r="AF76" i="4"/>
  <c r="AG76" i="4"/>
  <c r="W77" i="4"/>
  <c r="X77" i="4"/>
  <c r="Y77" i="4"/>
  <c r="Z77" i="4"/>
  <c r="AA77" i="4"/>
  <c r="AB77" i="4"/>
  <c r="AC77" i="4"/>
  <c r="AD77" i="4"/>
  <c r="AE77" i="4"/>
  <c r="AF77" i="4"/>
  <c r="AG77" i="4"/>
  <c r="H78" i="4"/>
  <c r="W78" i="4"/>
  <c r="X78" i="4"/>
  <c r="Y78" i="4"/>
  <c r="Z78" i="4"/>
  <c r="AA78" i="4"/>
  <c r="AB78" i="4"/>
  <c r="AC78" i="4"/>
  <c r="AD78" i="4"/>
  <c r="AE78" i="4"/>
  <c r="AF78" i="4"/>
  <c r="AG78" i="4"/>
  <c r="H79" i="4"/>
  <c r="W79" i="4"/>
  <c r="X79" i="4"/>
  <c r="Y79" i="4"/>
  <c r="Z79" i="4"/>
  <c r="AA79" i="4"/>
  <c r="AB79" i="4"/>
  <c r="AC79" i="4"/>
  <c r="AD79" i="4"/>
  <c r="AE79" i="4"/>
  <c r="AF79" i="4"/>
  <c r="AG79" i="4"/>
  <c r="H80" i="4"/>
  <c r="W80" i="4"/>
  <c r="X80" i="4"/>
  <c r="Y80" i="4"/>
  <c r="Z80" i="4"/>
  <c r="AA80" i="4"/>
  <c r="AB80" i="4"/>
  <c r="AC80" i="4"/>
  <c r="AD80" i="4"/>
  <c r="AE80" i="4"/>
  <c r="AF80" i="4"/>
  <c r="AG80" i="4"/>
  <c r="H81" i="4"/>
  <c r="W81" i="4"/>
  <c r="X81" i="4"/>
  <c r="Y81" i="4"/>
  <c r="Z81" i="4"/>
  <c r="AA81" i="4"/>
  <c r="AB81" i="4"/>
  <c r="AC81" i="4"/>
  <c r="AD81" i="4"/>
  <c r="AE81" i="4"/>
  <c r="AF81" i="4"/>
  <c r="AG81" i="4"/>
  <c r="H82" i="4"/>
  <c r="W82" i="4"/>
  <c r="X82" i="4"/>
  <c r="Y82" i="4"/>
  <c r="Z82" i="4"/>
  <c r="AA82" i="4"/>
  <c r="AB82" i="4"/>
  <c r="AC82" i="4"/>
  <c r="AD82" i="4"/>
  <c r="AE82" i="4"/>
  <c r="AF82" i="4"/>
  <c r="AG82" i="4"/>
  <c r="H83" i="4"/>
  <c r="W83" i="4"/>
  <c r="X83" i="4"/>
  <c r="Y83" i="4"/>
  <c r="Z83" i="4"/>
  <c r="AA83" i="4"/>
  <c r="AB83" i="4"/>
  <c r="AC83" i="4"/>
  <c r="AD83" i="4"/>
  <c r="AE83" i="4"/>
  <c r="AF83" i="4"/>
  <c r="AG83" i="4"/>
  <c r="H84" i="4"/>
  <c r="W84" i="4"/>
  <c r="X84" i="4"/>
  <c r="Y84" i="4"/>
  <c r="Z84" i="4"/>
  <c r="AA84" i="4"/>
  <c r="AB84" i="4"/>
  <c r="AC84" i="4"/>
  <c r="AD84" i="4"/>
  <c r="AE84" i="4"/>
  <c r="AF84" i="4"/>
  <c r="AG84" i="4"/>
  <c r="H85" i="4"/>
  <c r="W85" i="4"/>
  <c r="X85" i="4"/>
  <c r="Y85" i="4"/>
  <c r="Z85" i="4"/>
  <c r="AA85" i="4"/>
  <c r="AB85" i="4"/>
  <c r="AC85" i="4"/>
  <c r="AD85" i="4"/>
  <c r="AE85" i="4"/>
  <c r="AF85" i="4"/>
  <c r="AG85" i="4"/>
  <c r="H86" i="4"/>
  <c r="W86" i="4"/>
  <c r="X86" i="4"/>
  <c r="Y86" i="4"/>
  <c r="Z86" i="4"/>
  <c r="AA86" i="4"/>
  <c r="AB86" i="4"/>
  <c r="AC86" i="4"/>
  <c r="AD86" i="4"/>
  <c r="AE86" i="4"/>
  <c r="AF86" i="4"/>
  <c r="AG86" i="4"/>
  <c r="H87" i="4"/>
  <c r="W87" i="4"/>
  <c r="X87" i="4"/>
  <c r="Y87" i="4"/>
  <c r="Z87" i="4"/>
  <c r="AA87" i="4"/>
  <c r="AB87" i="4"/>
  <c r="AC87" i="4"/>
  <c r="AD87" i="4"/>
  <c r="AE87" i="4"/>
  <c r="AF87" i="4"/>
  <c r="AG87" i="4"/>
  <c r="H88" i="4"/>
  <c r="W88" i="4"/>
  <c r="X88" i="4"/>
  <c r="Y88" i="4"/>
  <c r="Z88" i="4"/>
  <c r="AA88" i="4"/>
  <c r="AB88" i="4"/>
  <c r="AC88" i="4"/>
  <c r="AD88" i="4"/>
  <c r="AE88" i="4"/>
  <c r="AF88" i="4"/>
  <c r="AG88" i="4"/>
  <c r="H89" i="4"/>
  <c r="W89" i="4"/>
  <c r="X89" i="4"/>
  <c r="Y89" i="4"/>
  <c r="Z89" i="4"/>
  <c r="AA89" i="4"/>
  <c r="AB89" i="4"/>
  <c r="AC89" i="4"/>
  <c r="AD89" i="4"/>
  <c r="AE89" i="4"/>
  <c r="AF89" i="4"/>
  <c r="AG89" i="4"/>
  <c r="F90" i="4"/>
  <c r="H90" i="4" s="1"/>
  <c r="W90" i="4"/>
  <c r="X90" i="4"/>
  <c r="Y90" i="4"/>
  <c r="Z90" i="4"/>
  <c r="AA90" i="4"/>
  <c r="AB90" i="4"/>
  <c r="AC90" i="4"/>
  <c r="AD90" i="4"/>
  <c r="AE90" i="4"/>
  <c r="AF90" i="4"/>
  <c r="AG90" i="4"/>
  <c r="F91" i="4"/>
  <c r="H91" i="4"/>
  <c r="W91" i="4"/>
  <c r="X91" i="4"/>
  <c r="Y91" i="4"/>
  <c r="Z91" i="4"/>
  <c r="AA91" i="4"/>
  <c r="AB91" i="4"/>
  <c r="AC91" i="4"/>
  <c r="AD91" i="4"/>
  <c r="AE91" i="4"/>
  <c r="AF91" i="4"/>
  <c r="AG91" i="4"/>
  <c r="F92" i="4"/>
  <c r="H92" i="4"/>
  <c r="W92" i="4"/>
  <c r="X92" i="4"/>
  <c r="Y92" i="4"/>
  <c r="Z92" i="4"/>
  <c r="AA92" i="4"/>
  <c r="AB92" i="4"/>
  <c r="AC92" i="4"/>
  <c r="AD92" i="4"/>
  <c r="AE92" i="4"/>
  <c r="AF92" i="4"/>
  <c r="AG92" i="4"/>
  <c r="H93" i="4"/>
  <c r="W93" i="4"/>
  <c r="X93" i="4"/>
  <c r="Y93" i="4"/>
  <c r="Z93" i="4"/>
  <c r="AA93" i="4"/>
  <c r="AB93" i="4"/>
  <c r="AC93" i="4"/>
  <c r="AD93" i="4"/>
  <c r="AE93" i="4"/>
  <c r="AF93" i="4"/>
  <c r="AG93" i="4"/>
  <c r="H94" i="4"/>
  <c r="W94" i="4"/>
  <c r="X94" i="4"/>
  <c r="Y94" i="4"/>
  <c r="Z94" i="4"/>
  <c r="AA94" i="4"/>
  <c r="AB94" i="4"/>
  <c r="AC94" i="4"/>
  <c r="AD94" i="4"/>
  <c r="AE94" i="4"/>
  <c r="AF94" i="4"/>
  <c r="AG94" i="4"/>
  <c r="F95" i="4"/>
  <c r="G95" i="4"/>
  <c r="H95" i="4" s="1"/>
  <c r="W95" i="4"/>
  <c r="X95" i="4"/>
  <c r="Y95" i="4"/>
  <c r="Z95" i="4"/>
  <c r="AA95" i="4"/>
  <c r="AB95" i="4"/>
  <c r="AC95" i="4"/>
  <c r="AD95" i="4"/>
  <c r="AE95" i="4"/>
  <c r="AF95" i="4"/>
  <c r="AG95" i="4"/>
  <c r="F96" i="4"/>
  <c r="G96" i="4"/>
  <c r="H96" i="4"/>
  <c r="W96" i="4"/>
  <c r="X96" i="4"/>
  <c r="Y96" i="4"/>
  <c r="Z96" i="4"/>
  <c r="AA96" i="4"/>
  <c r="AB96" i="4"/>
  <c r="AC96" i="4"/>
  <c r="AD96" i="4"/>
  <c r="AE96" i="4"/>
  <c r="AF96" i="4"/>
  <c r="AG96" i="4"/>
  <c r="F97" i="4"/>
  <c r="H97" i="4" s="1"/>
  <c r="W97" i="4"/>
  <c r="X97" i="4"/>
  <c r="Y97" i="4"/>
  <c r="Z97" i="4"/>
  <c r="AA97" i="4"/>
  <c r="AB97" i="4"/>
  <c r="AC97" i="4"/>
  <c r="AD97" i="4"/>
  <c r="AE97" i="4"/>
  <c r="AF97" i="4"/>
  <c r="AG97" i="4"/>
  <c r="H98" i="4"/>
  <c r="W98" i="4"/>
  <c r="X98" i="4"/>
  <c r="Y98" i="4"/>
  <c r="Z98" i="4"/>
  <c r="AA98" i="4"/>
  <c r="AB98" i="4"/>
  <c r="AC98" i="4"/>
  <c r="AD98" i="4"/>
  <c r="AE98" i="4"/>
  <c r="AF98" i="4"/>
  <c r="AG98" i="4"/>
  <c r="H99" i="4"/>
  <c r="W99" i="4"/>
  <c r="X99" i="4"/>
  <c r="Y99" i="4"/>
  <c r="Z99" i="4"/>
  <c r="AA99" i="4"/>
  <c r="AB99" i="4"/>
  <c r="AC99" i="4"/>
  <c r="AD99" i="4"/>
  <c r="AE99" i="4"/>
  <c r="AF99" i="4"/>
  <c r="AG99" i="4"/>
  <c r="H100" i="4"/>
  <c r="W100" i="4"/>
  <c r="X100" i="4"/>
  <c r="Y100" i="4"/>
  <c r="Z100" i="4"/>
  <c r="AA100" i="4"/>
  <c r="AB100" i="4"/>
  <c r="AC100" i="4"/>
  <c r="AD100" i="4"/>
  <c r="AE100" i="4"/>
  <c r="AF100" i="4"/>
  <c r="AG100" i="4"/>
  <c r="H101" i="4"/>
  <c r="W101" i="4"/>
  <c r="X101" i="4"/>
  <c r="Y101" i="4"/>
  <c r="Z101" i="4"/>
  <c r="AA101" i="4"/>
  <c r="AB101" i="4"/>
  <c r="AC101" i="4"/>
  <c r="AD101" i="4"/>
  <c r="AE101" i="4"/>
  <c r="AF101" i="4"/>
  <c r="AG101" i="4"/>
  <c r="H102" i="4"/>
  <c r="W102" i="4"/>
  <c r="X102" i="4"/>
  <c r="Y102" i="4"/>
  <c r="Z102" i="4"/>
  <c r="AA102" i="4"/>
  <c r="AB102" i="4"/>
  <c r="AC102" i="4"/>
  <c r="AD102" i="4"/>
  <c r="AE102" i="4"/>
  <c r="AF102" i="4"/>
  <c r="AG102" i="4"/>
  <c r="H103" i="4"/>
  <c r="W103" i="4"/>
  <c r="X103" i="4"/>
  <c r="Y103" i="4"/>
  <c r="Z103" i="4"/>
  <c r="AA103" i="4"/>
  <c r="AB103" i="4"/>
  <c r="AC103" i="4"/>
  <c r="AD103" i="4"/>
  <c r="AE103" i="4"/>
  <c r="AF103" i="4"/>
  <c r="AG103" i="4"/>
  <c r="H104" i="4"/>
  <c r="W104" i="4"/>
  <c r="X104" i="4"/>
  <c r="Y104" i="4"/>
  <c r="Z104" i="4"/>
  <c r="AA104" i="4"/>
  <c r="AB104" i="4"/>
  <c r="AC104" i="4"/>
  <c r="AD104" i="4"/>
  <c r="AE104" i="4"/>
  <c r="AF104" i="4"/>
  <c r="AG104" i="4"/>
  <c r="F105" i="4"/>
  <c r="H105" i="4"/>
  <c r="W105" i="4"/>
  <c r="X105" i="4"/>
  <c r="Y105" i="4"/>
  <c r="Z105" i="4"/>
  <c r="AA105" i="4"/>
  <c r="AB105" i="4"/>
  <c r="AC105" i="4"/>
  <c r="AD105" i="4"/>
  <c r="AE105" i="4"/>
  <c r="AF105" i="4"/>
  <c r="AG105" i="4"/>
  <c r="F106" i="4"/>
  <c r="H106" i="4"/>
  <c r="W106" i="4"/>
  <c r="X106" i="4"/>
  <c r="Y106" i="4"/>
  <c r="Z106" i="4"/>
  <c r="AA106" i="4"/>
  <c r="AB106" i="4"/>
  <c r="AC106" i="4"/>
  <c r="AD106" i="4"/>
  <c r="AE106" i="4"/>
  <c r="AF106" i="4"/>
  <c r="AG106" i="4"/>
  <c r="F107" i="4"/>
  <c r="H107" i="4"/>
  <c r="W107" i="4"/>
  <c r="X107" i="4"/>
  <c r="Y107" i="4"/>
  <c r="Z107" i="4"/>
  <c r="AA107" i="4"/>
  <c r="AB107" i="4"/>
  <c r="AC107" i="4"/>
  <c r="AD107" i="4"/>
  <c r="AE107" i="4"/>
  <c r="AF107" i="4"/>
  <c r="AG107" i="4"/>
  <c r="F108" i="4"/>
  <c r="H108" i="4" s="1"/>
  <c r="W108" i="4"/>
  <c r="X108" i="4"/>
  <c r="Y108" i="4"/>
  <c r="Z108" i="4"/>
  <c r="AA108" i="4"/>
  <c r="AB108" i="4"/>
  <c r="AC108" i="4"/>
  <c r="AD108" i="4"/>
  <c r="AE108" i="4"/>
  <c r="AF108" i="4"/>
  <c r="AG108" i="4"/>
  <c r="F109" i="4"/>
  <c r="H109" i="4" s="1"/>
  <c r="W109" i="4"/>
  <c r="X109" i="4"/>
  <c r="Y109" i="4"/>
  <c r="Z109" i="4"/>
  <c r="AA109" i="4"/>
  <c r="AB109" i="4"/>
  <c r="AC109" i="4"/>
  <c r="AD109" i="4"/>
  <c r="AE109" i="4"/>
  <c r="AF109" i="4"/>
  <c r="AG109" i="4"/>
  <c r="H110" i="4"/>
  <c r="W110" i="4"/>
  <c r="X110" i="4"/>
  <c r="Y110" i="4"/>
  <c r="Z110" i="4"/>
  <c r="AA110" i="4"/>
  <c r="AB110" i="4"/>
  <c r="AC110" i="4"/>
  <c r="AD110" i="4"/>
  <c r="AE110" i="4"/>
  <c r="AF110" i="4"/>
  <c r="AG110" i="4"/>
  <c r="F111" i="4"/>
  <c r="H111" i="4"/>
  <c r="W111" i="4"/>
  <c r="X111" i="4"/>
  <c r="Y111" i="4"/>
  <c r="Z111" i="4"/>
  <c r="AA111" i="4"/>
  <c r="AB111" i="4"/>
  <c r="AC111" i="4"/>
  <c r="AD111" i="4"/>
  <c r="AE111" i="4"/>
  <c r="AF111" i="4"/>
  <c r="AG111" i="4"/>
  <c r="F112" i="4"/>
  <c r="H112" i="4"/>
  <c r="W112" i="4"/>
  <c r="X112" i="4"/>
  <c r="Y112" i="4"/>
  <c r="Z112" i="4"/>
  <c r="AA112" i="4"/>
  <c r="AB112" i="4"/>
  <c r="AC112" i="4"/>
  <c r="AD112" i="4"/>
  <c r="AE112" i="4"/>
  <c r="AF112" i="4"/>
  <c r="AG112" i="4"/>
  <c r="H113" i="4"/>
  <c r="W113" i="4"/>
  <c r="X113" i="4"/>
  <c r="Y113" i="4"/>
  <c r="Z113" i="4"/>
  <c r="AA113" i="4"/>
  <c r="AB113" i="4"/>
  <c r="AC113" i="4"/>
  <c r="AD113" i="4"/>
  <c r="AE113" i="4"/>
  <c r="AF113" i="4"/>
  <c r="AG113" i="4"/>
  <c r="F114" i="4"/>
  <c r="G114" i="4"/>
  <c r="W114" i="4"/>
  <c r="X114" i="4"/>
  <c r="Y114" i="4"/>
  <c r="Z114" i="4"/>
  <c r="AA114" i="4"/>
  <c r="AB114" i="4"/>
  <c r="AC114" i="4"/>
  <c r="AD114" i="4"/>
  <c r="AE114" i="4"/>
  <c r="AF114" i="4"/>
  <c r="AG114" i="4"/>
  <c r="H115" i="4"/>
  <c r="W115" i="4"/>
  <c r="X115" i="4"/>
  <c r="Y115" i="4"/>
  <c r="Z115" i="4"/>
  <c r="AA115" i="4"/>
  <c r="AB115" i="4"/>
  <c r="AC115" i="4"/>
  <c r="AD115" i="4"/>
  <c r="AE115" i="4"/>
  <c r="AF115" i="4"/>
  <c r="AG115" i="4"/>
  <c r="F116" i="4"/>
  <c r="G116" i="4"/>
  <c r="H116" i="4"/>
  <c r="W116" i="4"/>
  <c r="X116" i="4"/>
  <c r="Y116" i="4"/>
  <c r="Z116" i="4"/>
  <c r="AA116" i="4"/>
  <c r="AB116" i="4"/>
  <c r="AC116" i="4"/>
  <c r="AD116" i="4"/>
  <c r="AE116" i="4"/>
  <c r="AF116" i="4"/>
  <c r="AG116" i="4"/>
  <c r="H117" i="4"/>
  <c r="W117" i="4"/>
  <c r="X117" i="4"/>
  <c r="Y117" i="4"/>
  <c r="Z117" i="4"/>
  <c r="AA117" i="4"/>
  <c r="AB117" i="4"/>
  <c r="AC117" i="4"/>
  <c r="AD117" i="4"/>
  <c r="AE117" i="4"/>
  <c r="AF117" i="4"/>
  <c r="AG117" i="4"/>
  <c r="H118" i="4"/>
  <c r="W118" i="4"/>
  <c r="X118" i="4"/>
  <c r="Y118" i="4"/>
  <c r="Z118" i="4"/>
  <c r="AA118" i="4"/>
  <c r="AB118" i="4"/>
  <c r="AC118" i="4"/>
  <c r="AD118" i="4"/>
  <c r="AE118" i="4"/>
  <c r="AF118" i="4"/>
  <c r="AG118" i="4"/>
  <c r="F119" i="4"/>
  <c r="G119" i="4"/>
  <c r="H119" i="4" s="1"/>
  <c r="W119" i="4"/>
  <c r="X119" i="4"/>
  <c r="Y119" i="4"/>
  <c r="Z119" i="4"/>
  <c r="AA119" i="4"/>
  <c r="AB119" i="4"/>
  <c r="AC119" i="4"/>
  <c r="AD119" i="4"/>
  <c r="AE119" i="4"/>
  <c r="AF119" i="4"/>
  <c r="AG119" i="4"/>
  <c r="F120" i="4"/>
  <c r="G120" i="4"/>
  <c r="H120" i="4" s="1"/>
  <c r="W120" i="4"/>
  <c r="X120" i="4"/>
  <c r="Y120" i="4"/>
  <c r="Z120" i="4"/>
  <c r="AA120" i="4"/>
  <c r="AB120" i="4"/>
  <c r="AC120" i="4"/>
  <c r="AD120" i="4"/>
  <c r="AE120" i="4"/>
  <c r="AF120" i="4"/>
  <c r="AG120" i="4"/>
  <c r="F121" i="4"/>
  <c r="H121" i="4" s="1"/>
  <c r="W121" i="4"/>
  <c r="X121" i="4"/>
  <c r="Y121" i="4"/>
  <c r="Z121" i="4"/>
  <c r="AA121" i="4"/>
  <c r="AB121" i="4"/>
  <c r="AC121" i="4"/>
  <c r="AD121" i="4"/>
  <c r="AE121" i="4"/>
  <c r="AF121" i="4"/>
  <c r="AG121" i="4"/>
  <c r="F122" i="4"/>
  <c r="H122" i="4" s="1"/>
  <c r="W122" i="4"/>
  <c r="X122" i="4"/>
  <c r="Y122" i="4"/>
  <c r="Z122" i="4"/>
  <c r="AA122" i="4"/>
  <c r="AB122" i="4"/>
  <c r="AC122" i="4"/>
  <c r="AD122" i="4"/>
  <c r="AE122" i="4"/>
  <c r="AF122" i="4"/>
  <c r="AG122" i="4"/>
  <c r="H123" i="4"/>
  <c r="W123" i="4"/>
  <c r="X123" i="4"/>
  <c r="Y123" i="4"/>
  <c r="Z123" i="4"/>
  <c r="AA123" i="4"/>
  <c r="AB123" i="4"/>
  <c r="AC123" i="4"/>
  <c r="AD123" i="4"/>
  <c r="AE123" i="4"/>
  <c r="AF123" i="4"/>
  <c r="AG123" i="4"/>
  <c r="F124" i="4"/>
  <c r="H124" i="4"/>
  <c r="W124" i="4"/>
  <c r="X124" i="4"/>
  <c r="Y124" i="4"/>
  <c r="Z124" i="4"/>
  <c r="AA124" i="4"/>
  <c r="AB124" i="4"/>
  <c r="AC124" i="4"/>
  <c r="AD124" i="4"/>
  <c r="AE124" i="4"/>
  <c r="AF124" i="4"/>
  <c r="AG124" i="4"/>
  <c r="F125" i="4"/>
  <c r="G125" i="4"/>
  <c r="H125" i="4" s="1"/>
  <c r="W125" i="4"/>
  <c r="X125" i="4"/>
  <c r="Y125" i="4"/>
  <c r="Z125" i="4"/>
  <c r="AA125" i="4"/>
  <c r="AB125" i="4"/>
  <c r="AC125" i="4"/>
  <c r="AD125" i="4"/>
  <c r="AE125" i="4"/>
  <c r="AF125" i="4"/>
  <c r="AG125" i="4"/>
  <c r="F126" i="4"/>
  <c r="H126" i="4"/>
  <c r="W126" i="4"/>
  <c r="X126" i="4"/>
  <c r="Y126" i="4"/>
  <c r="Z126" i="4"/>
  <c r="AA126" i="4"/>
  <c r="AB126" i="4"/>
  <c r="AC126" i="4"/>
  <c r="AD126" i="4"/>
  <c r="AE126" i="4"/>
  <c r="AF126" i="4"/>
  <c r="AG126" i="4"/>
  <c r="F127" i="4"/>
  <c r="H127" i="4"/>
  <c r="W127" i="4"/>
  <c r="X127" i="4"/>
  <c r="Y127" i="4"/>
  <c r="Z127" i="4"/>
  <c r="AA127" i="4"/>
  <c r="AB127" i="4"/>
  <c r="AC127" i="4"/>
  <c r="AD127" i="4"/>
  <c r="AE127" i="4"/>
  <c r="AF127" i="4"/>
  <c r="AG127" i="4"/>
  <c r="F128" i="4"/>
  <c r="H128" i="4"/>
  <c r="W128" i="4"/>
  <c r="X128" i="4"/>
  <c r="Y128" i="4"/>
  <c r="Z128" i="4"/>
  <c r="AA128" i="4"/>
  <c r="AB128" i="4"/>
  <c r="AC128" i="4"/>
  <c r="AD128" i="4"/>
  <c r="AE128" i="4"/>
  <c r="AF128" i="4"/>
  <c r="AG128" i="4"/>
  <c r="F129" i="4"/>
  <c r="G129" i="4"/>
  <c r="H129" i="4"/>
  <c r="W129" i="4"/>
  <c r="X129" i="4"/>
  <c r="Y129" i="4"/>
  <c r="Z129" i="4"/>
  <c r="AA129" i="4"/>
  <c r="AB129" i="4"/>
  <c r="AC129" i="4"/>
  <c r="AD129" i="4"/>
  <c r="AE129" i="4"/>
  <c r="AF129" i="4"/>
  <c r="AG129" i="4"/>
  <c r="F130" i="4"/>
  <c r="G130" i="4"/>
  <c r="H130" i="4" s="1"/>
  <c r="W130" i="4"/>
  <c r="X130" i="4"/>
  <c r="Y130" i="4"/>
  <c r="Z130" i="4"/>
  <c r="AA130" i="4"/>
  <c r="AB130" i="4"/>
  <c r="AC130" i="4"/>
  <c r="AD130" i="4"/>
  <c r="AE130" i="4"/>
  <c r="AF130" i="4"/>
  <c r="AG130" i="4"/>
  <c r="H131" i="4"/>
  <c r="W131" i="4"/>
  <c r="X131" i="4"/>
  <c r="Y131" i="4"/>
  <c r="Z131" i="4"/>
  <c r="AA131" i="4"/>
  <c r="AB131" i="4"/>
  <c r="AC131" i="4"/>
  <c r="AD131" i="4"/>
  <c r="AE131" i="4"/>
  <c r="AF131" i="4"/>
  <c r="AG131" i="4"/>
  <c r="F132" i="4"/>
  <c r="H132" i="4" s="1"/>
  <c r="G132" i="4"/>
  <c r="W132" i="4"/>
  <c r="X132" i="4"/>
  <c r="Y132" i="4"/>
  <c r="Z132" i="4"/>
  <c r="AA132" i="4"/>
  <c r="AB132" i="4"/>
  <c r="AC132" i="4"/>
  <c r="AD132" i="4"/>
  <c r="AE132" i="4"/>
  <c r="AF132" i="4"/>
  <c r="AG132" i="4"/>
  <c r="F133" i="4"/>
  <c r="H133" i="4"/>
  <c r="W133" i="4"/>
  <c r="X133" i="4"/>
  <c r="Y133" i="4"/>
  <c r="Z133" i="4"/>
  <c r="AA133" i="4"/>
  <c r="AB133" i="4"/>
  <c r="AC133" i="4"/>
  <c r="AD133" i="4"/>
  <c r="AE133" i="4"/>
  <c r="AF133" i="4"/>
  <c r="AG133" i="4"/>
  <c r="F134" i="4"/>
  <c r="H134" i="4"/>
  <c r="W134" i="4"/>
  <c r="X134" i="4"/>
  <c r="Y134" i="4"/>
  <c r="Z134" i="4"/>
  <c r="AA134" i="4"/>
  <c r="AB134" i="4"/>
  <c r="AC134" i="4"/>
  <c r="AD134" i="4"/>
  <c r="AE134" i="4"/>
  <c r="AF134" i="4"/>
  <c r="AG134" i="4"/>
  <c r="F135" i="4"/>
  <c r="H135" i="4" s="1"/>
  <c r="W135" i="4"/>
  <c r="X135" i="4"/>
  <c r="Y135" i="4"/>
  <c r="Z135" i="4"/>
  <c r="AA135" i="4"/>
  <c r="AB135" i="4"/>
  <c r="AC135" i="4"/>
  <c r="AD135" i="4"/>
  <c r="AE135" i="4"/>
  <c r="AF135" i="4"/>
  <c r="AG135" i="4"/>
  <c r="I4" i="1"/>
  <c r="V4" i="1" s="1"/>
  <c r="J4" i="1"/>
  <c r="W4" i="1" s="1"/>
  <c r="U4" i="1"/>
  <c r="X4" i="1"/>
  <c r="Y4" i="1"/>
  <c r="Z4" i="1"/>
  <c r="AA4" i="1"/>
  <c r="AB4" i="1"/>
  <c r="AC4" i="1"/>
  <c r="AD4" i="1"/>
  <c r="AE4" i="1"/>
  <c r="K5" i="1"/>
  <c r="U5" i="1"/>
  <c r="V5" i="1"/>
  <c r="W5" i="1"/>
  <c r="X5" i="1"/>
  <c r="Y5" i="1"/>
  <c r="Z5" i="1"/>
  <c r="AA5" i="1"/>
  <c r="AB5" i="1"/>
  <c r="AC5" i="1"/>
  <c r="AD5" i="1"/>
  <c r="AE5" i="1"/>
  <c r="I6" i="1"/>
  <c r="V6" i="1" s="1"/>
  <c r="K6" i="1"/>
  <c r="X6" i="1" s="1"/>
  <c r="U6" i="1"/>
  <c r="W6" i="1"/>
  <c r="Y6" i="1"/>
  <c r="Z6" i="1"/>
  <c r="AA6" i="1"/>
  <c r="AB6" i="1"/>
  <c r="AC6" i="1"/>
  <c r="AD6" i="1"/>
  <c r="AE6" i="1"/>
  <c r="I7" i="1"/>
  <c r="J7" i="1"/>
  <c r="U7" i="1"/>
  <c r="V7" i="1"/>
  <c r="W7" i="1"/>
  <c r="X7" i="1"/>
  <c r="Y7" i="1"/>
  <c r="Z7" i="1"/>
  <c r="AA7" i="1"/>
  <c r="AB7" i="1"/>
  <c r="AC7" i="1"/>
  <c r="AD7" i="1"/>
  <c r="AE7" i="1"/>
  <c r="N8" i="1"/>
  <c r="U8" i="1"/>
  <c r="N9" i="1"/>
  <c r="AA9" i="1" s="1"/>
  <c r="U9" i="1"/>
  <c r="V9" i="1"/>
  <c r="W9" i="1"/>
  <c r="X9" i="1"/>
  <c r="Y9" i="1"/>
  <c r="Z9" i="1"/>
  <c r="AB9" i="1"/>
  <c r="AC9" i="1"/>
  <c r="AD9" i="1"/>
  <c r="AE9" i="1"/>
  <c r="H10" i="1"/>
  <c r="J10" i="1"/>
  <c r="U10" i="1"/>
  <c r="V10" i="1"/>
  <c r="W10" i="1"/>
  <c r="X10" i="1"/>
  <c r="Y10" i="1"/>
  <c r="Z10" i="1"/>
  <c r="AA10" i="1"/>
  <c r="AB10" i="1"/>
  <c r="AC10" i="1"/>
  <c r="AD10" i="1"/>
  <c r="AE10" i="1"/>
  <c r="M11" i="1"/>
  <c r="N11" i="1"/>
  <c r="U11" i="1"/>
  <c r="V11" i="1"/>
  <c r="W11" i="1"/>
  <c r="X11" i="1"/>
  <c r="Y11" i="1"/>
  <c r="Z11" i="1"/>
  <c r="AA11" i="1"/>
  <c r="AB11" i="1"/>
  <c r="AC11" i="1"/>
  <c r="AD11" i="1"/>
  <c r="AE11" i="1"/>
  <c r="I12" i="1"/>
  <c r="V12" i="1" s="1"/>
  <c r="J12" i="1"/>
  <c r="U12" i="1"/>
  <c r="W12" i="1"/>
  <c r="X12" i="1"/>
  <c r="Y12" i="1"/>
  <c r="Z12" i="1"/>
  <c r="AA12" i="1"/>
  <c r="AB12" i="1"/>
  <c r="AC12" i="1"/>
  <c r="AD12" i="1"/>
  <c r="AE12" i="1"/>
  <c r="M13" i="1"/>
  <c r="U13" i="1"/>
  <c r="V13" i="1"/>
  <c r="W13" i="1"/>
  <c r="X13" i="1"/>
  <c r="Y13" i="1"/>
  <c r="Z13" i="1"/>
  <c r="AA13" i="1"/>
  <c r="AB13" i="1"/>
  <c r="AC13" i="1"/>
  <c r="AD13" i="1"/>
  <c r="AE13" i="1"/>
  <c r="U14" i="1"/>
  <c r="O15" i="1"/>
  <c r="U15" i="1"/>
  <c r="V15" i="1"/>
  <c r="W15" i="1"/>
  <c r="X15" i="1"/>
  <c r="Y15" i="1"/>
  <c r="Z15" i="1"/>
  <c r="AA15" i="1"/>
  <c r="AB15" i="1"/>
  <c r="AC15" i="1"/>
  <c r="AD15" i="1"/>
  <c r="AE15" i="1"/>
  <c r="U16" i="1"/>
  <c r="I17" i="1"/>
  <c r="V17" i="1" s="1"/>
  <c r="U17" i="1"/>
  <c r="W17" i="1"/>
  <c r="X17" i="1"/>
  <c r="Y17" i="1"/>
  <c r="Z17" i="1"/>
  <c r="AA17" i="1"/>
  <c r="AB17" i="1"/>
  <c r="AC17" i="1"/>
  <c r="AD17" i="1"/>
  <c r="AE17" i="1"/>
  <c r="H18" i="1"/>
  <c r="U18" i="1" s="1"/>
  <c r="M18" i="1"/>
  <c r="V18" i="1"/>
  <c r="W18" i="1"/>
  <c r="X18" i="1"/>
  <c r="Y18" i="1"/>
  <c r="Z18" i="1"/>
  <c r="AA18" i="1"/>
  <c r="AB18" i="1"/>
  <c r="AC18" i="1"/>
  <c r="AD18" i="1"/>
  <c r="AE18" i="1"/>
  <c r="I19" i="1"/>
  <c r="V19" i="1" s="1"/>
  <c r="U19" i="1"/>
  <c r="W19" i="1"/>
  <c r="X19" i="1"/>
  <c r="Y19" i="1"/>
  <c r="Z19" i="1"/>
  <c r="AA19" i="1"/>
  <c r="AB19" i="1"/>
  <c r="AC19" i="1"/>
  <c r="AD19" i="1"/>
  <c r="AE19" i="1"/>
  <c r="J20" i="1"/>
  <c r="U20" i="1"/>
  <c r="V20" i="1"/>
  <c r="W20" i="1"/>
  <c r="X20" i="1"/>
  <c r="Y20" i="1"/>
  <c r="Z20" i="1"/>
  <c r="AA20" i="1"/>
  <c r="AB20" i="1"/>
  <c r="AC20" i="1"/>
  <c r="AD20" i="1"/>
  <c r="AE20" i="1"/>
  <c r="H21" i="1"/>
  <c r="U21" i="1" s="1"/>
  <c r="K21" i="1"/>
  <c r="X21" i="1" s="1"/>
  <c r="V21" i="1"/>
  <c r="W21" i="1"/>
  <c r="Y21" i="1"/>
  <c r="Z21" i="1"/>
  <c r="AA21" i="1"/>
  <c r="AB21" i="1"/>
  <c r="AC21" i="1"/>
  <c r="AD21" i="1"/>
  <c r="AE21" i="1"/>
  <c r="I22" i="1"/>
  <c r="U22" i="1"/>
  <c r="I23" i="1"/>
  <c r="V23" i="1" s="1"/>
  <c r="U23" i="1"/>
  <c r="W23" i="1"/>
  <c r="X23" i="1"/>
  <c r="Y23" i="1"/>
  <c r="Z23" i="1"/>
  <c r="AA23" i="1"/>
  <c r="AB23" i="1"/>
  <c r="AC23" i="1"/>
  <c r="AD23" i="1"/>
  <c r="AE23" i="1"/>
  <c r="K26" i="1"/>
  <c r="U26" i="1"/>
  <c r="V26" i="1"/>
  <c r="W26" i="1"/>
  <c r="X26" i="1"/>
  <c r="AJ26" i="1" s="1"/>
  <c r="Y26" i="1"/>
  <c r="AK26" i="1" s="1"/>
  <c r="Z26" i="1"/>
  <c r="AL26" i="1" s="1"/>
  <c r="AA26" i="1"/>
  <c r="AM26" i="1" s="1"/>
  <c r="AB26" i="1"/>
  <c r="AN26" i="1" s="1"/>
  <c r="AC26" i="1"/>
  <c r="AD26" i="1"/>
  <c r="AE26" i="1"/>
  <c r="AG26" i="1"/>
  <c r="AH26" i="1"/>
  <c r="AI26" i="1"/>
  <c r="AO26" i="1"/>
  <c r="AP26" i="1"/>
  <c r="AQ26" i="1"/>
  <c r="I27" i="1"/>
  <c r="V27" i="1" s="1"/>
  <c r="U27" i="1"/>
  <c r="AG27" i="1" s="1"/>
  <c r="W27" i="1"/>
  <c r="X27" i="1"/>
  <c r="Y27" i="1"/>
  <c r="Z27" i="1"/>
  <c r="AL27" i="1" s="1"/>
  <c r="AA27" i="1"/>
  <c r="AM27" i="1" s="1"/>
  <c r="AB27" i="1"/>
  <c r="AN27" i="1" s="1"/>
  <c r="AC27" i="1"/>
  <c r="AO27" i="1" s="1"/>
  <c r="AD27" i="1"/>
  <c r="AE27" i="1"/>
  <c r="AH27" i="1"/>
  <c r="AI27" i="1"/>
  <c r="AJ27" i="1"/>
  <c r="AK27" i="1"/>
  <c r="AP27" i="1"/>
  <c r="AQ27" i="1"/>
  <c r="J28" i="1"/>
  <c r="W28" i="1" s="1"/>
  <c r="AI28" i="1" s="1"/>
  <c r="U28" i="1"/>
  <c r="AG28" i="1" s="1"/>
  <c r="V28" i="1"/>
  <c r="AH28" i="1" s="1"/>
  <c r="X28" i="1"/>
  <c r="Y28" i="1"/>
  <c r="Z28" i="1"/>
  <c r="AA28" i="1"/>
  <c r="AM28" i="1" s="1"/>
  <c r="AB28" i="1"/>
  <c r="AN28" i="1" s="1"/>
  <c r="AC28" i="1"/>
  <c r="AO28" i="1" s="1"/>
  <c r="AD28" i="1"/>
  <c r="AP28" i="1" s="1"/>
  <c r="AE28" i="1"/>
  <c r="AJ28" i="1"/>
  <c r="AK28" i="1"/>
  <c r="AL28" i="1"/>
  <c r="AQ28" i="1"/>
  <c r="H29" i="1"/>
  <c r="U29" i="1"/>
  <c r="AG29" i="1" s="1"/>
  <c r="V29" i="1"/>
  <c r="AH29" i="1" s="1"/>
  <c r="W29" i="1"/>
  <c r="AI29" i="1" s="1"/>
  <c r="X29" i="1"/>
  <c r="Y29" i="1"/>
  <c r="Z29" i="1"/>
  <c r="AA29" i="1"/>
  <c r="AB29" i="1"/>
  <c r="AN29" i="1" s="1"/>
  <c r="AC29" i="1"/>
  <c r="AO29" i="1" s="1"/>
  <c r="AD29" i="1"/>
  <c r="AP29" i="1" s="1"/>
  <c r="AE29" i="1"/>
  <c r="AQ29" i="1" s="1"/>
  <c r="AJ29" i="1"/>
  <c r="AK29" i="1"/>
  <c r="AL29" i="1"/>
  <c r="AM29" i="1"/>
  <c r="H30" i="1"/>
  <c r="U146" i="1" s="1"/>
  <c r="U147" i="1" s="1"/>
  <c r="U148" i="1" s="1"/>
  <c r="L30" i="1"/>
  <c r="Y146" i="1" s="1"/>
  <c r="Y147" i="1" s="1"/>
  <c r="Y148" i="1" s="1"/>
  <c r="V30" i="1"/>
  <c r="AH30" i="1" s="1"/>
  <c r="AG30" i="1"/>
  <c r="AI30" i="1"/>
  <c r="AJ30" i="1"/>
  <c r="AK30" i="1"/>
  <c r="AL30" i="1"/>
  <c r="AM30" i="1"/>
  <c r="AN30" i="1"/>
  <c r="AO30" i="1"/>
  <c r="AP30" i="1"/>
  <c r="AQ30" i="1"/>
  <c r="H31" i="1"/>
  <c r="U31" i="1" s="1"/>
  <c r="V31" i="1"/>
  <c r="W31" i="1"/>
  <c r="AI31" i="1" s="1"/>
  <c r="X31" i="1"/>
  <c r="AJ31" i="1" s="1"/>
  <c r="Y31" i="1"/>
  <c r="AK31" i="1" s="1"/>
  <c r="Z31" i="1"/>
  <c r="AL31" i="1" s="1"/>
  <c r="AA31" i="1"/>
  <c r="AB31" i="1"/>
  <c r="AC31" i="1"/>
  <c r="AD31" i="1"/>
  <c r="AE31" i="1"/>
  <c r="AQ31" i="1" s="1"/>
  <c r="AG31" i="1"/>
  <c r="AH31" i="1"/>
  <c r="AM31" i="1"/>
  <c r="AN31" i="1"/>
  <c r="AO31" i="1"/>
  <c r="AP31" i="1"/>
  <c r="H32" i="1"/>
  <c r="U32" i="1" s="1"/>
  <c r="I32" i="1"/>
  <c r="W32" i="1"/>
  <c r="X32" i="1"/>
  <c r="Y32" i="1"/>
  <c r="Z32" i="1"/>
  <c r="AA32" i="1"/>
  <c r="AB32" i="1"/>
  <c r="AC32" i="1"/>
  <c r="AD32" i="1"/>
  <c r="AE32" i="1"/>
  <c r="H33" i="1"/>
  <c r="U33" i="1"/>
  <c r="AG33" i="1" s="1"/>
  <c r="V33" i="1"/>
  <c r="AH33" i="1" s="1"/>
  <c r="W33" i="1"/>
  <c r="AI33" i="1" s="1"/>
  <c r="X33" i="1"/>
  <c r="Y33" i="1"/>
  <c r="Z33" i="1"/>
  <c r="AA33" i="1"/>
  <c r="AB33" i="1"/>
  <c r="AN33" i="1" s="1"/>
  <c r="AC33" i="1"/>
  <c r="AO33" i="1" s="1"/>
  <c r="AD33" i="1"/>
  <c r="AP33" i="1" s="1"/>
  <c r="AE33" i="1"/>
  <c r="AQ33" i="1" s="1"/>
  <c r="AJ33" i="1"/>
  <c r="AK33" i="1"/>
  <c r="AL33" i="1"/>
  <c r="AM33" i="1"/>
  <c r="I34" i="1"/>
  <c r="V34" i="1" s="1"/>
  <c r="AH34" i="1" s="1"/>
  <c r="J34" i="1"/>
  <c r="W34" i="1" s="1"/>
  <c r="AI34" i="1" s="1"/>
  <c r="U34" i="1"/>
  <c r="AG34" i="1" s="1"/>
  <c r="X34" i="1"/>
  <c r="Y34" i="1"/>
  <c r="Z34" i="1"/>
  <c r="AA34" i="1"/>
  <c r="AB34" i="1"/>
  <c r="AN34" i="1" s="1"/>
  <c r="AC34" i="1"/>
  <c r="AO34" i="1" s="1"/>
  <c r="AD34" i="1"/>
  <c r="AP34" i="1" s="1"/>
  <c r="AE34" i="1"/>
  <c r="AQ34" i="1" s="1"/>
  <c r="AJ34" i="1"/>
  <c r="AK34" i="1"/>
  <c r="AL34" i="1"/>
  <c r="AM34" i="1"/>
  <c r="J35" i="1"/>
  <c r="W35" i="1" s="1"/>
  <c r="AI35" i="1" s="1"/>
  <c r="U35" i="1"/>
  <c r="AG35" i="1" s="1"/>
  <c r="V35" i="1"/>
  <c r="AH35" i="1" s="1"/>
  <c r="X35" i="1"/>
  <c r="AJ35" i="1" s="1"/>
  <c r="Y35" i="1"/>
  <c r="Z35" i="1"/>
  <c r="AA35" i="1"/>
  <c r="AB35" i="1"/>
  <c r="AN35" i="1" s="1"/>
  <c r="AC35" i="1"/>
  <c r="AO35" i="1" s="1"/>
  <c r="AD35" i="1"/>
  <c r="AP35" i="1" s="1"/>
  <c r="AE35" i="1"/>
  <c r="AQ35" i="1" s="1"/>
  <c r="AK35" i="1"/>
  <c r="AL35" i="1"/>
  <c r="AM35" i="1"/>
  <c r="J36" i="1"/>
  <c r="U36" i="1"/>
  <c r="AG36" i="1" s="1"/>
  <c r="V36" i="1"/>
  <c r="AH36" i="1"/>
  <c r="H37" i="1"/>
  <c r="U37" i="1" s="1"/>
  <c r="L37" i="1"/>
  <c r="V37" i="1"/>
  <c r="W37" i="1"/>
  <c r="AI37" i="1" s="1"/>
  <c r="X37" i="1"/>
  <c r="AJ37" i="1" s="1"/>
  <c r="Y37" i="1"/>
  <c r="AK37" i="1" s="1"/>
  <c r="Z37" i="1"/>
  <c r="AL37" i="1" s="1"/>
  <c r="AA37" i="1"/>
  <c r="AM37" i="1" s="1"/>
  <c r="AB37" i="1"/>
  <c r="AC37" i="1"/>
  <c r="AD37" i="1"/>
  <c r="AE37" i="1"/>
  <c r="AG37" i="1"/>
  <c r="AH37" i="1"/>
  <c r="AN37" i="1"/>
  <c r="AO37" i="1"/>
  <c r="AP37" i="1"/>
  <c r="AQ37" i="1"/>
  <c r="H38" i="1"/>
  <c r="U38" i="1" s="1"/>
  <c r="AG38" i="1" s="1"/>
  <c r="I38" i="1"/>
  <c r="V38" i="1" s="1"/>
  <c r="W38" i="1"/>
  <c r="X38" i="1"/>
  <c r="AJ38" i="1" s="1"/>
  <c r="Y38" i="1"/>
  <c r="AK38" i="1" s="1"/>
  <c r="Z38" i="1"/>
  <c r="AL38" i="1" s="1"/>
  <c r="AA38" i="1"/>
  <c r="AM38" i="1" s="1"/>
  <c r="AB38" i="1"/>
  <c r="AC38" i="1"/>
  <c r="AD38" i="1"/>
  <c r="AE38" i="1"/>
  <c r="AH38" i="1"/>
  <c r="AI38" i="1"/>
  <c r="AN38" i="1"/>
  <c r="AO38" i="1"/>
  <c r="AP38" i="1"/>
  <c r="AQ38" i="1"/>
  <c r="I39" i="1"/>
  <c r="V39" i="1" s="1"/>
  <c r="J39" i="1"/>
  <c r="U39" i="1"/>
  <c r="W39" i="1"/>
  <c r="AI39" i="1" s="1"/>
  <c r="X39" i="1"/>
  <c r="AJ39" i="1" s="1"/>
  <c r="Y39" i="1"/>
  <c r="Z39" i="1"/>
  <c r="AL39" i="1" s="1"/>
  <c r="AA39" i="1"/>
  <c r="AM39" i="1" s="1"/>
  <c r="AB39" i="1"/>
  <c r="AC39" i="1"/>
  <c r="AD39" i="1"/>
  <c r="AE39" i="1"/>
  <c r="AQ39" i="1" s="1"/>
  <c r="AG39" i="1"/>
  <c r="AH39" i="1"/>
  <c r="AK39" i="1"/>
  <c r="AN39" i="1"/>
  <c r="AO39" i="1"/>
  <c r="AP39" i="1"/>
  <c r="M40" i="1"/>
  <c r="U40" i="1"/>
  <c r="AG40" i="1" s="1"/>
  <c r="V40" i="1"/>
  <c r="W40" i="1"/>
  <c r="X40" i="1"/>
  <c r="Y40" i="1"/>
  <c r="AK40" i="1" s="1"/>
  <c r="Z40" i="1"/>
  <c r="AL40" i="1" s="1"/>
  <c r="AA40" i="1"/>
  <c r="AM40" i="1" s="1"/>
  <c r="AB40" i="1"/>
  <c r="AN40" i="1" s="1"/>
  <c r="AC40" i="1"/>
  <c r="AD40" i="1"/>
  <c r="AE40" i="1"/>
  <c r="AH40" i="1"/>
  <c r="AI40" i="1"/>
  <c r="AJ40" i="1"/>
  <c r="AO40" i="1"/>
  <c r="AP40" i="1"/>
  <c r="AQ40" i="1"/>
  <c r="H41" i="1"/>
  <c r="R41" i="1"/>
  <c r="AE41" i="1" s="1"/>
  <c r="U41" i="1"/>
  <c r="AG41" i="1" s="1"/>
  <c r="V41" i="1"/>
  <c r="W41" i="1"/>
  <c r="X41" i="1"/>
  <c r="Y41" i="1"/>
  <c r="AK41" i="1" s="1"/>
  <c r="Z41" i="1"/>
  <c r="AL41" i="1" s="1"/>
  <c r="AA41" i="1"/>
  <c r="AM41" i="1" s="1"/>
  <c r="AB41" i="1"/>
  <c r="AN41" i="1" s="1"/>
  <c r="AC41" i="1"/>
  <c r="AO41" i="1" s="1"/>
  <c r="AD41" i="1"/>
  <c r="AH41" i="1"/>
  <c r="AI41" i="1"/>
  <c r="AJ41" i="1"/>
  <c r="AP41" i="1"/>
  <c r="AQ41" i="1"/>
  <c r="H42" i="1"/>
  <c r="U42" i="1" s="1"/>
  <c r="AG42" i="1" s="1"/>
  <c r="V42" i="1"/>
  <c r="W42" i="1"/>
  <c r="X42" i="1"/>
  <c r="Y42" i="1"/>
  <c r="Z42" i="1"/>
  <c r="AL42" i="1" s="1"/>
  <c r="AA42" i="1"/>
  <c r="AM42" i="1" s="1"/>
  <c r="AB42" i="1"/>
  <c r="AN42" i="1" s="1"/>
  <c r="AC42" i="1"/>
  <c r="AO42" i="1" s="1"/>
  <c r="AD42" i="1"/>
  <c r="AP42" i="1" s="1"/>
  <c r="AE42" i="1"/>
  <c r="AH42" i="1"/>
  <c r="AI42" i="1"/>
  <c r="AJ42" i="1"/>
  <c r="AK42" i="1"/>
  <c r="AQ42" i="1"/>
  <c r="H43" i="1"/>
  <c r="U43" i="1"/>
  <c r="AG43" i="1" s="1"/>
  <c r="V43" i="1"/>
  <c r="AH43" i="1" s="1"/>
  <c r="W43" i="1"/>
  <c r="X43" i="1"/>
  <c r="Y43" i="1"/>
  <c r="Z43" i="1"/>
  <c r="AA43" i="1"/>
  <c r="AM43" i="1" s="1"/>
  <c r="AB43" i="1"/>
  <c r="AC43" i="1"/>
  <c r="AO43" i="1" s="1"/>
  <c r="AD43" i="1"/>
  <c r="AP43" i="1" s="1"/>
  <c r="AE43" i="1"/>
  <c r="AI43" i="1"/>
  <c r="AJ43" i="1"/>
  <c r="AK43" i="1"/>
  <c r="AL43" i="1"/>
  <c r="AN43" i="1"/>
  <c r="AQ43" i="1"/>
  <c r="I44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P46" i="1"/>
  <c r="AC46" i="1" s="1"/>
  <c r="U46" i="1"/>
  <c r="V46" i="1"/>
  <c r="W46" i="1"/>
  <c r="X46" i="1"/>
  <c r="Y46" i="1"/>
  <c r="Z46" i="1"/>
  <c r="AA46" i="1"/>
  <c r="AB46" i="1"/>
  <c r="AD46" i="1"/>
  <c r="K47" i="1"/>
  <c r="X47" i="1" s="1"/>
  <c r="U47" i="1"/>
  <c r="V47" i="1"/>
  <c r="W47" i="1"/>
  <c r="Y47" i="1"/>
  <c r="Z47" i="1"/>
  <c r="AA47" i="1"/>
  <c r="AB47" i="1"/>
  <c r="AC47" i="1"/>
  <c r="AD47" i="1"/>
  <c r="I48" i="1"/>
  <c r="V48" i="1" s="1"/>
  <c r="U48" i="1"/>
  <c r="W48" i="1"/>
  <c r="X48" i="1"/>
  <c r="Y48" i="1"/>
  <c r="Z48" i="1"/>
  <c r="AA48" i="1"/>
  <c r="AB48" i="1"/>
  <c r="AC48" i="1"/>
  <c r="AD48" i="1"/>
  <c r="I49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L51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N53" i="1"/>
  <c r="U53" i="1"/>
  <c r="V53" i="1"/>
  <c r="W53" i="1"/>
  <c r="X53" i="1"/>
  <c r="Y53" i="1"/>
  <c r="Z53" i="1"/>
  <c r="AA53" i="1"/>
  <c r="AB53" i="1"/>
  <c r="AC53" i="1"/>
  <c r="AD53" i="1"/>
  <c r="K54" i="1"/>
  <c r="U54" i="1"/>
  <c r="V54" i="1"/>
  <c r="W54" i="1"/>
  <c r="X54" i="1"/>
  <c r="Y54" i="1"/>
  <c r="Z54" i="1"/>
  <c r="AA54" i="1"/>
  <c r="AB54" i="1"/>
  <c r="AC54" i="1"/>
  <c r="AD54" i="1"/>
  <c r="H55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K57" i="1"/>
  <c r="U57" i="1"/>
  <c r="V57" i="1"/>
  <c r="W57" i="1"/>
  <c r="X57" i="1"/>
  <c r="Y57" i="1"/>
  <c r="Z57" i="1"/>
  <c r="AA57" i="1"/>
  <c r="AB57" i="1"/>
  <c r="AC57" i="1"/>
  <c r="AD57" i="1"/>
  <c r="K58" i="1"/>
  <c r="U58" i="1"/>
  <c r="V58" i="1"/>
  <c r="W58" i="1"/>
  <c r="X58" i="1"/>
  <c r="Y58" i="1"/>
  <c r="Z58" i="1"/>
  <c r="AA58" i="1"/>
  <c r="AB58" i="1"/>
  <c r="AC58" i="1"/>
  <c r="AD58" i="1"/>
  <c r="N59" i="1"/>
  <c r="AA59" i="1" s="1"/>
  <c r="U59" i="1"/>
  <c r="V59" i="1"/>
  <c r="W59" i="1"/>
  <c r="X59" i="1"/>
  <c r="Y59" i="1"/>
  <c r="Z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L61" i="1"/>
  <c r="U61" i="1"/>
  <c r="V61" i="1"/>
  <c r="W61" i="1"/>
  <c r="X61" i="1"/>
  <c r="Y61" i="1"/>
  <c r="Z61" i="1"/>
  <c r="AA61" i="1"/>
  <c r="AB61" i="1"/>
  <c r="AC61" i="1"/>
  <c r="AD61" i="1"/>
  <c r="P62" i="1"/>
  <c r="S62" i="1"/>
  <c r="U62" i="1"/>
  <c r="V62" i="1"/>
  <c r="W62" i="1"/>
  <c r="X62" i="1"/>
  <c r="Y62" i="1"/>
  <c r="Z62" i="1"/>
  <c r="AL62" i="1" s="1"/>
  <c r="AA62" i="1"/>
  <c r="AM62" i="1" s="1"/>
  <c r="AB62" i="1"/>
  <c r="AN62" i="1" s="1"/>
  <c r="AD62" i="1"/>
  <c r="AE62" i="1"/>
  <c r="AG62" i="1"/>
  <c r="AH62" i="1"/>
  <c r="AI62" i="1"/>
  <c r="AJ62" i="1"/>
  <c r="AK62" i="1"/>
  <c r="AP62" i="1"/>
  <c r="AQ62" i="1"/>
  <c r="S63" i="1"/>
  <c r="T63" i="1"/>
  <c r="U63" i="1"/>
  <c r="V63" i="1"/>
  <c r="W63" i="1"/>
  <c r="X63" i="1"/>
  <c r="AJ63" i="1" s="1"/>
  <c r="Y63" i="1"/>
  <c r="AK63" i="1" s="1"/>
  <c r="Z63" i="1"/>
  <c r="AA63" i="1"/>
  <c r="AM63" i="1" s="1"/>
  <c r="AB63" i="1"/>
  <c r="AN63" i="1" s="1"/>
  <c r="AC63" i="1"/>
  <c r="AO63" i="1" s="1"/>
  <c r="AD63" i="1"/>
  <c r="AE63" i="1"/>
  <c r="AG63" i="1"/>
  <c r="AH63" i="1"/>
  <c r="AI63" i="1"/>
  <c r="AL63" i="1"/>
  <c r="AP63" i="1"/>
  <c r="AQ63" i="1"/>
  <c r="H64" i="1"/>
  <c r="U64" i="1" s="1"/>
  <c r="AG64" i="1" s="1"/>
  <c r="S64" i="1"/>
  <c r="V64" i="1"/>
  <c r="W64" i="1"/>
  <c r="X64" i="1"/>
  <c r="Y64" i="1"/>
  <c r="Z64" i="1"/>
  <c r="AL64" i="1" s="1"/>
  <c r="AA64" i="1"/>
  <c r="AM64" i="1" s="1"/>
  <c r="AB64" i="1"/>
  <c r="AC64" i="1"/>
  <c r="AD64" i="1"/>
  <c r="AE64" i="1"/>
  <c r="AQ64" i="1" s="1"/>
  <c r="AH64" i="1"/>
  <c r="AI64" i="1"/>
  <c r="AJ64" i="1"/>
  <c r="AK64" i="1"/>
  <c r="AN64" i="1"/>
  <c r="AO64" i="1"/>
  <c r="AP64" i="1"/>
  <c r="N65" i="1"/>
  <c r="T65" i="1" s="1"/>
  <c r="S65" i="1"/>
  <c r="U65" i="1"/>
  <c r="V65" i="1"/>
  <c r="W65" i="1"/>
  <c r="AI65" i="1" s="1"/>
  <c r="X65" i="1"/>
  <c r="AJ65" i="1" s="1"/>
  <c r="Y65" i="1"/>
  <c r="AK65" i="1" s="1"/>
  <c r="Z65" i="1"/>
  <c r="AL65" i="1" s="1"/>
  <c r="AA65" i="1"/>
  <c r="AB65" i="1"/>
  <c r="AC65" i="1"/>
  <c r="AD65" i="1"/>
  <c r="AE65" i="1"/>
  <c r="AG65" i="1"/>
  <c r="AH65" i="1"/>
  <c r="AM65" i="1"/>
  <c r="AN65" i="1"/>
  <c r="AO65" i="1"/>
  <c r="AP65" i="1"/>
  <c r="AQ65" i="1"/>
  <c r="H66" i="1"/>
  <c r="S66" i="1"/>
  <c r="V66" i="1"/>
  <c r="W66" i="1"/>
  <c r="X66" i="1"/>
  <c r="AJ66" i="1" s="1"/>
  <c r="Y66" i="1"/>
  <c r="AK66" i="1" s="1"/>
  <c r="Z66" i="1"/>
  <c r="AL66" i="1" s="1"/>
  <c r="AA66" i="1"/>
  <c r="AB66" i="1"/>
  <c r="AC66" i="1"/>
  <c r="AD66" i="1"/>
  <c r="AE66" i="1"/>
  <c r="AQ66" i="1" s="1"/>
  <c r="AH66" i="1"/>
  <c r="AI66" i="1"/>
  <c r="AM66" i="1"/>
  <c r="AN66" i="1"/>
  <c r="AO66" i="1"/>
  <c r="AP66" i="1"/>
  <c r="M67" i="1"/>
  <c r="S67" i="1"/>
  <c r="T67" i="1"/>
  <c r="U67" i="1"/>
  <c r="AG67" i="1" s="1"/>
  <c r="V67" i="1"/>
  <c r="W67" i="1"/>
  <c r="AI67" i="1" s="1"/>
  <c r="X67" i="1"/>
  <c r="AJ67" i="1" s="1"/>
  <c r="Y67" i="1"/>
  <c r="Z67" i="1"/>
  <c r="AA67" i="1"/>
  <c r="AB67" i="1"/>
  <c r="AC67" i="1"/>
  <c r="AO67" i="1" s="1"/>
  <c r="AD67" i="1"/>
  <c r="AE67" i="1"/>
  <c r="AQ67" i="1" s="1"/>
  <c r="AH67" i="1"/>
  <c r="AK67" i="1"/>
  <c r="AL67" i="1"/>
  <c r="AM67" i="1"/>
  <c r="AN67" i="1"/>
  <c r="AP67" i="1"/>
  <c r="O68" i="1"/>
  <c r="S68" i="1"/>
  <c r="T68" i="1"/>
  <c r="U68" i="1"/>
  <c r="AG68" i="1" s="1"/>
  <c r="V68" i="1"/>
  <c r="AH68" i="1" s="1"/>
  <c r="W68" i="1"/>
  <c r="AI68" i="1" s="1"/>
  <c r="X68" i="1"/>
  <c r="Y68" i="1"/>
  <c r="Z68" i="1"/>
  <c r="AA68" i="1"/>
  <c r="AB68" i="1"/>
  <c r="AC68" i="1"/>
  <c r="AD68" i="1"/>
  <c r="AP68" i="1" s="1"/>
  <c r="AE68" i="1"/>
  <c r="AQ68" i="1" s="1"/>
  <c r="AJ68" i="1"/>
  <c r="AK68" i="1"/>
  <c r="AL68" i="1"/>
  <c r="AM68" i="1"/>
  <c r="AN68" i="1"/>
  <c r="AO68" i="1"/>
  <c r="J69" i="1"/>
  <c r="W69" i="1" s="1"/>
  <c r="AI69" i="1" s="1"/>
  <c r="O69" i="1"/>
  <c r="S69" i="1"/>
  <c r="U69" i="1"/>
  <c r="AG69" i="1" s="1"/>
  <c r="V69" i="1"/>
  <c r="AH69" i="1" s="1"/>
  <c r="X69" i="1"/>
  <c r="Y69" i="1"/>
  <c r="AK69" i="1" s="1"/>
  <c r="Z69" i="1"/>
  <c r="AA69" i="1"/>
  <c r="AB69" i="1"/>
  <c r="AN69" i="1" s="1"/>
  <c r="AC69" i="1"/>
  <c r="AO69" i="1" s="1"/>
  <c r="AD69" i="1"/>
  <c r="AE69" i="1"/>
  <c r="AJ69" i="1"/>
  <c r="AL69" i="1"/>
  <c r="AM69" i="1"/>
  <c r="AP69" i="1"/>
  <c r="AQ69" i="1"/>
  <c r="J70" i="1"/>
  <c r="W70" i="1" s="1"/>
  <c r="AI70" i="1" s="1"/>
  <c r="S70" i="1"/>
  <c r="T70" i="1"/>
  <c r="U70" i="1"/>
  <c r="V70" i="1"/>
  <c r="X70" i="1"/>
  <c r="AJ70" i="1" s="1"/>
  <c r="Y70" i="1"/>
  <c r="Z70" i="1"/>
  <c r="AA70" i="1"/>
  <c r="AM70" i="1" s="1"/>
  <c r="AB70" i="1"/>
  <c r="AN70" i="1" s="1"/>
  <c r="AC70" i="1"/>
  <c r="AO70" i="1" s="1"/>
  <c r="AD70" i="1"/>
  <c r="AE70" i="1"/>
  <c r="AG70" i="1"/>
  <c r="AH70" i="1"/>
  <c r="AK70" i="1"/>
  <c r="AL70" i="1"/>
  <c r="AP70" i="1"/>
  <c r="AQ70" i="1"/>
  <c r="O71" i="1"/>
  <c r="S71" i="1"/>
  <c r="T71" i="1"/>
  <c r="U71" i="1"/>
  <c r="V71" i="1"/>
  <c r="W71" i="1"/>
  <c r="X71" i="1"/>
  <c r="AJ71" i="1" s="1"/>
  <c r="Y71" i="1"/>
  <c r="AK71" i="1" s="1"/>
  <c r="Z71" i="1"/>
  <c r="AL71" i="1" s="1"/>
  <c r="AA71" i="1"/>
  <c r="AM71" i="1" s="1"/>
  <c r="AB71" i="1"/>
  <c r="AC71" i="1"/>
  <c r="AD71" i="1"/>
  <c r="AE71" i="1"/>
  <c r="AG71" i="1"/>
  <c r="AH71" i="1"/>
  <c r="AI71" i="1"/>
  <c r="AN71" i="1"/>
  <c r="AO71" i="1"/>
  <c r="AP71" i="1"/>
  <c r="AQ71" i="1"/>
  <c r="S72" i="1"/>
  <c r="T72" i="1"/>
  <c r="U72" i="1"/>
  <c r="V72" i="1"/>
  <c r="W72" i="1"/>
  <c r="X72" i="1"/>
  <c r="Y72" i="1"/>
  <c r="Z72" i="1"/>
  <c r="AL72" i="1" s="1"/>
  <c r="AA72" i="1"/>
  <c r="AM72" i="1" s="1"/>
  <c r="AB72" i="1"/>
  <c r="AC72" i="1"/>
  <c r="AD72" i="1"/>
  <c r="AE72" i="1"/>
  <c r="AQ72" i="1" s="1"/>
  <c r="AG72" i="1"/>
  <c r="AH72" i="1"/>
  <c r="AI72" i="1"/>
  <c r="AJ72" i="1"/>
  <c r="AK72" i="1"/>
  <c r="AN72" i="1"/>
  <c r="AO72" i="1"/>
  <c r="AP72" i="1"/>
  <c r="J73" i="1"/>
  <c r="T73" i="1" s="1"/>
  <c r="S73" i="1"/>
  <c r="U73" i="1"/>
  <c r="V73" i="1"/>
  <c r="W73" i="1"/>
  <c r="AI73" i="1" s="1"/>
  <c r="X73" i="1"/>
  <c r="AJ73" i="1" s="1"/>
  <c r="Y73" i="1"/>
  <c r="AK73" i="1" s="1"/>
  <c r="Z73" i="1"/>
  <c r="AL73" i="1" s="1"/>
  <c r="AA73" i="1"/>
  <c r="AB73" i="1"/>
  <c r="AC73" i="1"/>
  <c r="AD73" i="1"/>
  <c r="AE73" i="1"/>
  <c r="AG73" i="1"/>
  <c r="AH73" i="1"/>
  <c r="AM73" i="1"/>
  <c r="AN73" i="1"/>
  <c r="AO73" i="1"/>
  <c r="AP73" i="1"/>
  <c r="AQ73" i="1"/>
  <c r="S74" i="1"/>
  <c r="T74" i="1"/>
  <c r="U74" i="1"/>
  <c r="V74" i="1"/>
  <c r="W74" i="1"/>
  <c r="AI74" i="1" s="1"/>
  <c r="X74" i="1"/>
  <c r="Y74" i="1"/>
  <c r="AK74" i="1" s="1"/>
  <c r="Z74" i="1"/>
  <c r="AL74" i="1" s="1"/>
  <c r="AA74" i="1"/>
  <c r="AB74" i="1"/>
  <c r="AC74" i="1"/>
  <c r="AD74" i="1"/>
  <c r="AE74" i="1"/>
  <c r="AQ74" i="1" s="1"/>
  <c r="AG74" i="1"/>
  <c r="AH74" i="1"/>
  <c r="AJ74" i="1"/>
  <c r="AM74" i="1"/>
  <c r="AN74" i="1"/>
  <c r="AO74" i="1"/>
  <c r="AP74" i="1"/>
  <c r="I75" i="1"/>
  <c r="T75" i="1" s="1"/>
  <c r="S75" i="1"/>
  <c r="U75" i="1"/>
  <c r="AG75" i="1" s="1"/>
  <c r="W75" i="1"/>
  <c r="X75" i="1"/>
  <c r="Y75" i="1"/>
  <c r="AK75" i="1" s="1"/>
  <c r="Z75" i="1"/>
  <c r="AA75" i="1"/>
  <c r="AM75" i="1" s="1"/>
  <c r="AB75" i="1"/>
  <c r="AC75" i="1"/>
  <c r="AO75" i="1" s="1"/>
  <c r="AD75" i="1"/>
  <c r="AE75" i="1"/>
  <c r="AI75" i="1"/>
  <c r="AJ75" i="1"/>
  <c r="AL75" i="1"/>
  <c r="AN75" i="1"/>
  <c r="AP75" i="1"/>
  <c r="AQ75" i="1"/>
  <c r="I76" i="1"/>
  <c r="V76" i="1" s="1"/>
  <c r="AH76" i="1" s="1"/>
  <c r="S76" i="1"/>
  <c r="T76" i="1"/>
  <c r="U76" i="1"/>
  <c r="AG76" i="1" s="1"/>
  <c r="W76" i="1"/>
  <c r="X76" i="1"/>
  <c r="AJ76" i="1" s="1"/>
  <c r="Y76" i="1"/>
  <c r="Z76" i="1"/>
  <c r="AA76" i="1"/>
  <c r="AB76" i="1"/>
  <c r="AN76" i="1" s="1"/>
  <c r="AC76" i="1"/>
  <c r="AO76" i="1" s="1"/>
  <c r="AD76" i="1"/>
  <c r="AP76" i="1" s="1"/>
  <c r="AE76" i="1"/>
  <c r="AI76" i="1"/>
  <c r="AK76" i="1"/>
  <c r="AL76" i="1"/>
  <c r="AM76" i="1"/>
  <c r="AQ76" i="1"/>
  <c r="K77" i="1"/>
  <c r="S77" i="1"/>
  <c r="T77" i="1"/>
  <c r="U77" i="1"/>
  <c r="AG77" i="1" s="1"/>
  <c r="V77" i="1"/>
  <c r="AH77" i="1" s="1"/>
  <c r="W77" i="1"/>
  <c r="AI77" i="1" s="1"/>
  <c r="X77" i="1"/>
  <c r="AJ77" i="1" s="1"/>
  <c r="Y77" i="1"/>
  <c r="Z77" i="1"/>
  <c r="AA77" i="1"/>
  <c r="AB77" i="1"/>
  <c r="AC77" i="1"/>
  <c r="AO77" i="1" s="1"/>
  <c r="AD77" i="1"/>
  <c r="AP77" i="1" s="1"/>
  <c r="AE77" i="1"/>
  <c r="AQ77" i="1" s="1"/>
  <c r="AK77" i="1"/>
  <c r="AL77" i="1"/>
  <c r="AM77" i="1"/>
  <c r="AN77" i="1"/>
  <c r="H78" i="1"/>
  <c r="M78" i="1"/>
  <c r="S78" i="1"/>
  <c r="T78" i="1"/>
  <c r="U78" i="1"/>
  <c r="AG78" i="1" s="1"/>
  <c r="V78" i="1"/>
  <c r="AH78" i="1" s="1"/>
  <c r="W78" i="1"/>
  <c r="X78" i="1"/>
  <c r="Y78" i="1"/>
  <c r="AK78" i="1" s="1"/>
  <c r="Z78" i="1"/>
  <c r="AA78" i="1"/>
  <c r="AB78" i="1"/>
  <c r="AC78" i="1"/>
  <c r="AO78" i="1" s="1"/>
  <c r="AD78" i="1"/>
  <c r="AP78" i="1" s="1"/>
  <c r="AE78" i="1"/>
  <c r="AI78" i="1"/>
  <c r="AJ78" i="1"/>
  <c r="AL78" i="1"/>
  <c r="AM78" i="1"/>
  <c r="AN78" i="1"/>
  <c r="AQ78" i="1"/>
  <c r="O79" i="1"/>
  <c r="S79" i="1"/>
  <c r="T79" i="1"/>
  <c r="U79" i="1"/>
  <c r="AG79" i="1" s="1"/>
  <c r="V79" i="1"/>
  <c r="W79" i="1"/>
  <c r="X79" i="1"/>
  <c r="Y79" i="1"/>
  <c r="AK79" i="1" s="1"/>
  <c r="Z79" i="1"/>
  <c r="AA79" i="1"/>
  <c r="AM79" i="1" s="1"/>
  <c r="AB79" i="1"/>
  <c r="AN79" i="1" s="1"/>
  <c r="AC79" i="1"/>
  <c r="AD79" i="1"/>
  <c r="AP79" i="1" s="1"/>
  <c r="AE79" i="1"/>
  <c r="AH79" i="1"/>
  <c r="AI79" i="1"/>
  <c r="AJ79" i="1"/>
  <c r="AL79" i="1"/>
  <c r="AO79" i="1"/>
  <c r="AQ79" i="1"/>
  <c r="S80" i="1"/>
  <c r="T80" i="1"/>
  <c r="U80" i="1"/>
  <c r="AG80" i="1" s="1"/>
  <c r="V80" i="1"/>
  <c r="AH80" i="1" s="1"/>
  <c r="W80" i="1"/>
  <c r="X80" i="1"/>
  <c r="Y80" i="1"/>
  <c r="Z80" i="1"/>
  <c r="AA80" i="1"/>
  <c r="AM80" i="1" s="1"/>
  <c r="AB80" i="1"/>
  <c r="AN80" i="1" s="1"/>
  <c r="AC80" i="1"/>
  <c r="AO80" i="1" s="1"/>
  <c r="AD80" i="1"/>
  <c r="AE80" i="1"/>
  <c r="AI80" i="1"/>
  <c r="AJ80" i="1"/>
  <c r="AK80" i="1"/>
  <c r="AL80" i="1"/>
  <c r="AP80" i="1"/>
  <c r="AQ80" i="1"/>
  <c r="S81" i="1"/>
  <c r="T81" i="1"/>
  <c r="W81" i="1"/>
  <c r="AI81" i="1" s="1"/>
  <c r="X81" i="1"/>
  <c r="AJ81" i="1" s="1"/>
  <c r="Y81" i="1"/>
  <c r="Z81" i="1"/>
  <c r="AA81" i="1"/>
  <c r="AB81" i="1"/>
  <c r="AC81" i="1"/>
  <c r="AD81" i="1"/>
  <c r="AP81" i="1" s="1"/>
  <c r="AE81" i="1"/>
  <c r="AQ81" i="1" s="1"/>
  <c r="AG81" i="1"/>
  <c r="AH81" i="1"/>
  <c r="AK81" i="1"/>
  <c r="AL81" i="1"/>
  <c r="AM81" i="1"/>
  <c r="AN81" i="1"/>
  <c r="AO81" i="1"/>
  <c r="K82" i="1"/>
  <c r="S82" i="1"/>
  <c r="U82" i="1"/>
  <c r="AG82" i="1" s="1"/>
  <c r="V82" i="1"/>
  <c r="W82" i="1"/>
  <c r="Y82" i="1"/>
  <c r="AK82" i="1" s="1"/>
  <c r="Z82" i="1"/>
  <c r="AL82" i="1" s="1"/>
  <c r="AA82" i="1"/>
  <c r="AM82" i="1" s="1"/>
  <c r="AB82" i="1"/>
  <c r="AC82" i="1"/>
  <c r="AO82" i="1" s="1"/>
  <c r="AD82" i="1"/>
  <c r="AE82" i="1"/>
  <c r="AH82" i="1"/>
  <c r="AI82" i="1"/>
  <c r="AN82" i="1"/>
  <c r="AP82" i="1"/>
  <c r="AQ82" i="1"/>
  <c r="P83" i="1"/>
  <c r="AC83" i="1" s="1"/>
  <c r="AO83" i="1" s="1"/>
  <c r="S83" i="1"/>
  <c r="T83" i="1"/>
  <c r="U83" i="1"/>
  <c r="AG83" i="1" s="1"/>
  <c r="V83" i="1"/>
  <c r="W83" i="1"/>
  <c r="X83" i="1"/>
  <c r="Y83" i="1"/>
  <c r="Z83" i="1"/>
  <c r="AL83" i="1" s="1"/>
  <c r="AA83" i="1"/>
  <c r="AM83" i="1" s="1"/>
  <c r="AB83" i="1"/>
  <c r="AN83" i="1" s="1"/>
  <c r="AD83" i="1"/>
  <c r="AE83" i="1"/>
  <c r="AH83" i="1"/>
  <c r="AI83" i="1"/>
  <c r="AJ83" i="1"/>
  <c r="AK83" i="1"/>
  <c r="AP83" i="1"/>
  <c r="AQ83" i="1"/>
  <c r="O84" i="1"/>
  <c r="S84" i="1"/>
  <c r="T84" i="1"/>
  <c r="U84" i="1"/>
  <c r="AG84" i="1" s="1"/>
  <c r="V84" i="1"/>
  <c r="W84" i="1"/>
  <c r="X84" i="1"/>
  <c r="Y84" i="1"/>
  <c r="Z84" i="1"/>
  <c r="AA84" i="1"/>
  <c r="AM84" i="1" s="1"/>
  <c r="AB84" i="1"/>
  <c r="AN84" i="1" s="1"/>
  <c r="AC84" i="1"/>
  <c r="AO84" i="1" s="1"/>
  <c r="AD84" i="1"/>
  <c r="AE84" i="1"/>
  <c r="AH84" i="1"/>
  <c r="AI84" i="1"/>
  <c r="AJ84" i="1"/>
  <c r="AK84" i="1"/>
  <c r="AL84" i="1"/>
  <c r="AP84" i="1"/>
  <c r="AQ84" i="1"/>
  <c r="O85" i="1"/>
  <c r="S85" i="1"/>
  <c r="T85" i="1"/>
  <c r="U85" i="1"/>
  <c r="V85" i="1"/>
  <c r="W85" i="1"/>
  <c r="AI85" i="1" s="1"/>
  <c r="X85" i="1"/>
  <c r="Y85" i="1"/>
  <c r="Z85" i="1"/>
  <c r="AL85" i="1" s="1"/>
  <c r="AA85" i="1"/>
  <c r="AB85" i="1"/>
  <c r="AN85" i="1" s="1"/>
  <c r="AC85" i="1"/>
  <c r="AD85" i="1"/>
  <c r="AE85" i="1"/>
  <c r="AQ85" i="1" s="1"/>
  <c r="AG85" i="1"/>
  <c r="AH85" i="1"/>
  <c r="AJ85" i="1"/>
  <c r="AK85" i="1"/>
  <c r="AM85" i="1"/>
  <c r="AO85" i="1"/>
  <c r="AP85" i="1"/>
  <c r="S86" i="1"/>
  <c r="T86" i="1"/>
  <c r="U86" i="1"/>
  <c r="W86" i="1"/>
  <c r="AI86" i="1" s="1"/>
  <c r="X86" i="1"/>
  <c r="Y86" i="1"/>
  <c r="AK86" i="1" s="1"/>
  <c r="Z86" i="1"/>
  <c r="AL86" i="1" s="1"/>
  <c r="AA86" i="1"/>
  <c r="AM86" i="1" s="1"/>
  <c r="AB86" i="1"/>
  <c r="AC86" i="1"/>
  <c r="AD86" i="1"/>
  <c r="AE86" i="1"/>
  <c r="AG86" i="1"/>
  <c r="AH86" i="1"/>
  <c r="AJ86" i="1"/>
  <c r="AN86" i="1"/>
  <c r="AO86" i="1"/>
  <c r="AP86" i="1"/>
  <c r="AQ86" i="1"/>
  <c r="O87" i="1"/>
  <c r="S87" i="1"/>
  <c r="T87" i="1"/>
  <c r="U87" i="1"/>
  <c r="V87" i="1"/>
  <c r="W87" i="1"/>
  <c r="AI87" i="1" s="1"/>
  <c r="X87" i="1"/>
  <c r="Y87" i="1"/>
  <c r="AK87" i="1" s="1"/>
  <c r="Z87" i="1"/>
  <c r="AL87" i="1" s="1"/>
  <c r="AA87" i="1"/>
  <c r="AM87" i="1" s="1"/>
  <c r="AB87" i="1"/>
  <c r="AC87" i="1"/>
  <c r="AD87" i="1"/>
  <c r="AP87" i="1" s="1"/>
  <c r="AE87" i="1"/>
  <c r="AG87" i="1"/>
  <c r="AH87" i="1"/>
  <c r="AJ87" i="1"/>
  <c r="AN87" i="1"/>
  <c r="AO87" i="1"/>
  <c r="AQ87" i="1"/>
  <c r="M88" i="1"/>
  <c r="T88" i="1" s="1"/>
  <c r="S88" i="1"/>
  <c r="U88" i="1"/>
  <c r="V88" i="1"/>
  <c r="AH88" i="1" s="1"/>
  <c r="W88" i="1"/>
  <c r="X88" i="1"/>
  <c r="Y88" i="1"/>
  <c r="AK88" i="1" s="1"/>
  <c r="AA88" i="1"/>
  <c r="AM88" i="1" s="1"/>
  <c r="AB88" i="1"/>
  <c r="AC88" i="1"/>
  <c r="AD88" i="1"/>
  <c r="AP88" i="1" s="1"/>
  <c r="AE88" i="1"/>
  <c r="AQ88" i="1" s="1"/>
  <c r="AG88" i="1"/>
  <c r="AI88" i="1"/>
  <c r="AJ88" i="1"/>
  <c r="AN88" i="1"/>
  <c r="AO88" i="1"/>
  <c r="S89" i="1"/>
  <c r="T89" i="1"/>
  <c r="U89" i="1"/>
  <c r="AG89" i="1" s="1"/>
  <c r="V89" i="1"/>
  <c r="AH89" i="1" s="1"/>
  <c r="W89" i="1"/>
  <c r="AI89" i="1" s="1"/>
  <c r="X89" i="1"/>
  <c r="AJ89" i="1" s="1"/>
  <c r="Y89" i="1"/>
  <c r="AK89" i="1" s="1"/>
  <c r="Z89" i="1"/>
  <c r="AA89" i="1"/>
  <c r="AB89" i="1"/>
  <c r="AC89" i="1"/>
  <c r="AD89" i="1"/>
  <c r="AP89" i="1" s="1"/>
  <c r="AE89" i="1"/>
  <c r="AQ89" i="1" s="1"/>
  <c r="AL89" i="1"/>
  <c r="AM89" i="1"/>
  <c r="AN89" i="1"/>
  <c r="AO89" i="1"/>
  <c r="O90" i="1"/>
  <c r="S90" i="1"/>
  <c r="T90" i="1"/>
  <c r="U90" i="1"/>
  <c r="AG90" i="1" s="1"/>
  <c r="V90" i="1"/>
  <c r="AH90" i="1" s="1"/>
  <c r="W90" i="1"/>
  <c r="AI90" i="1" s="1"/>
  <c r="X90" i="1"/>
  <c r="AJ90" i="1" s="1"/>
  <c r="Y90" i="1"/>
  <c r="Z90" i="1"/>
  <c r="AA90" i="1"/>
  <c r="AB90" i="1"/>
  <c r="AC90" i="1"/>
  <c r="AD90" i="1"/>
  <c r="AE90" i="1"/>
  <c r="AQ90" i="1" s="1"/>
  <c r="AK90" i="1"/>
  <c r="AL90" i="1"/>
  <c r="AM90" i="1"/>
  <c r="AN90" i="1"/>
  <c r="AO90" i="1"/>
  <c r="AP90" i="1"/>
  <c r="M91" i="1"/>
  <c r="S91" i="1"/>
  <c r="T91" i="1"/>
  <c r="U91" i="1"/>
  <c r="V91" i="1"/>
  <c r="AH91" i="1" s="1"/>
  <c r="W91" i="1"/>
  <c r="AI91" i="1" s="1"/>
  <c r="X91" i="1"/>
  <c r="AJ91" i="1" s="1"/>
  <c r="Y91" i="1"/>
  <c r="AK91" i="1" s="1"/>
  <c r="Z91" i="1"/>
  <c r="AA91" i="1"/>
  <c r="AM91" i="1" s="1"/>
  <c r="AB91" i="1"/>
  <c r="AC91" i="1"/>
  <c r="AD91" i="1"/>
  <c r="AE91" i="1"/>
  <c r="AQ91" i="1" s="1"/>
  <c r="AG91" i="1"/>
  <c r="AL91" i="1"/>
  <c r="AN91" i="1"/>
  <c r="AO91" i="1"/>
  <c r="AP91" i="1"/>
  <c r="H92" i="1"/>
  <c r="T92" i="1" s="1"/>
  <c r="M92" i="1"/>
  <c r="S92" i="1"/>
  <c r="V92" i="1"/>
  <c r="W92" i="1"/>
  <c r="X92" i="1"/>
  <c r="Y92" i="1"/>
  <c r="AK92" i="1" s="1"/>
  <c r="Z92" i="1"/>
  <c r="AA92" i="1"/>
  <c r="AM92" i="1" s="1"/>
  <c r="AB92" i="1"/>
  <c r="AC92" i="1"/>
  <c r="AO92" i="1" s="1"/>
  <c r="AD92" i="1"/>
  <c r="AE92" i="1"/>
  <c r="AH92" i="1"/>
  <c r="AI92" i="1"/>
  <c r="AJ92" i="1"/>
  <c r="AL92" i="1"/>
  <c r="AN92" i="1"/>
  <c r="AP92" i="1"/>
  <c r="AQ92" i="1"/>
  <c r="L93" i="1"/>
  <c r="Y93" i="1" s="1"/>
  <c r="AK93" i="1" s="1"/>
  <c r="S93" i="1"/>
  <c r="U93" i="1"/>
  <c r="V93" i="1"/>
  <c r="W93" i="1"/>
  <c r="X93" i="1"/>
  <c r="AJ93" i="1" s="1"/>
  <c r="Z93" i="1"/>
  <c r="AL93" i="1" s="1"/>
  <c r="AA93" i="1"/>
  <c r="AB93" i="1"/>
  <c r="AN93" i="1" s="1"/>
  <c r="AC93" i="1"/>
  <c r="AO93" i="1" s="1"/>
  <c r="AD93" i="1"/>
  <c r="AE93" i="1"/>
  <c r="AG93" i="1"/>
  <c r="AH93" i="1"/>
  <c r="AI93" i="1"/>
  <c r="AM93" i="1"/>
  <c r="AP93" i="1"/>
  <c r="AQ93" i="1"/>
  <c r="I94" i="1"/>
  <c r="V94" i="1" s="1"/>
  <c r="AH94" i="1" s="1"/>
  <c r="S94" i="1"/>
  <c r="U94" i="1"/>
  <c r="AG94" i="1" s="1"/>
  <c r="W94" i="1"/>
  <c r="X94" i="1"/>
  <c r="Y94" i="1"/>
  <c r="AK94" i="1" s="1"/>
  <c r="Z94" i="1"/>
  <c r="AA94" i="1"/>
  <c r="AM94" i="1" s="1"/>
  <c r="AB94" i="1"/>
  <c r="AC94" i="1"/>
  <c r="AO94" i="1" s="1"/>
  <c r="AD94" i="1"/>
  <c r="AE94" i="1"/>
  <c r="AQ94" i="1" s="1"/>
  <c r="AI94" i="1"/>
  <c r="AJ94" i="1"/>
  <c r="AL94" i="1"/>
  <c r="AN94" i="1"/>
  <c r="AP94" i="1"/>
  <c r="K95" i="1"/>
  <c r="X95" i="1" s="1"/>
  <c r="AJ95" i="1" s="1"/>
  <c r="U95" i="1"/>
  <c r="AG95" i="1" s="1"/>
  <c r="V95" i="1"/>
  <c r="W95" i="1"/>
  <c r="Y95" i="1"/>
  <c r="Z95" i="1"/>
  <c r="AA95" i="1"/>
  <c r="AM95" i="1" s="1"/>
  <c r="AB95" i="1"/>
  <c r="AN95" i="1" s="1"/>
  <c r="AC95" i="1"/>
  <c r="AD95" i="1"/>
  <c r="AE95" i="1"/>
  <c r="AH95" i="1"/>
  <c r="AI95" i="1"/>
  <c r="AK95" i="1"/>
  <c r="AL95" i="1"/>
  <c r="AO95" i="1"/>
  <c r="AP95" i="1"/>
  <c r="AQ95" i="1"/>
  <c r="S96" i="1"/>
  <c r="T96" i="1"/>
  <c r="U96" i="1"/>
  <c r="V96" i="1"/>
  <c r="W96" i="1"/>
  <c r="X96" i="1"/>
  <c r="AJ96" i="1" s="1"/>
  <c r="Y96" i="1"/>
  <c r="AK96" i="1" s="1"/>
  <c r="Z96" i="1"/>
  <c r="AL96" i="1" s="1"/>
  <c r="AA96" i="1"/>
  <c r="AB96" i="1"/>
  <c r="AN96" i="1" s="1"/>
  <c r="AC96" i="1"/>
  <c r="AO96" i="1" s="1"/>
  <c r="AD96" i="1"/>
  <c r="AE96" i="1"/>
  <c r="AG96" i="1"/>
  <c r="AH96" i="1"/>
  <c r="AI96" i="1"/>
  <c r="AM96" i="1"/>
  <c r="AP96" i="1"/>
  <c r="AQ96" i="1"/>
  <c r="P97" i="1"/>
  <c r="AC97" i="1" s="1"/>
  <c r="AO97" i="1" s="1"/>
  <c r="U97" i="1"/>
  <c r="AG97" i="1" s="1"/>
  <c r="V97" i="1"/>
  <c r="AH97" i="1" s="1"/>
  <c r="W97" i="1"/>
  <c r="AI97" i="1" s="1"/>
  <c r="X97" i="1"/>
  <c r="Y97" i="1"/>
  <c r="Z97" i="1"/>
  <c r="AA97" i="1"/>
  <c r="AB97" i="1"/>
  <c r="AN97" i="1" s="1"/>
  <c r="AD97" i="1"/>
  <c r="AE97" i="1"/>
  <c r="AJ97" i="1"/>
  <c r="AK97" i="1"/>
  <c r="AL97" i="1"/>
  <c r="AM97" i="1"/>
  <c r="AP97" i="1"/>
  <c r="AQ97" i="1"/>
  <c r="I98" i="1"/>
  <c r="U98" i="1"/>
  <c r="V98" i="1"/>
  <c r="AH98" i="1" s="1"/>
  <c r="W98" i="1"/>
  <c r="AI98" i="1" s="1"/>
  <c r="X98" i="1"/>
  <c r="AJ98" i="1" s="1"/>
  <c r="Y98" i="1"/>
  <c r="Z98" i="1"/>
  <c r="AL98" i="1" s="1"/>
  <c r="AA98" i="1"/>
  <c r="AM98" i="1" s="1"/>
  <c r="AB98" i="1"/>
  <c r="AC98" i="1"/>
  <c r="AD98" i="1"/>
  <c r="AP98" i="1" s="1"/>
  <c r="AE98" i="1"/>
  <c r="AG98" i="1"/>
  <c r="AK98" i="1"/>
  <c r="AN98" i="1"/>
  <c r="AO98" i="1"/>
  <c r="AQ98" i="1"/>
  <c r="K99" i="1"/>
  <c r="X99" i="1" s="1"/>
  <c r="AJ99" i="1" s="1"/>
  <c r="U99" i="1"/>
  <c r="AG99" i="1" s="1"/>
  <c r="V99" i="1"/>
  <c r="W99" i="1"/>
  <c r="AI99" i="1" s="1"/>
  <c r="Y99" i="1"/>
  <c r="Z99" i="1"/>
  <c r="AA99" i="1"/>
  <c r="AM99" i="1" s="1"/>
  <c r="AB99" i="1"/>
  <c r="AN99" i="1" s="1"/>
  <c r="AC99" i="1"/>
  <c r="AO99" i="1" s="1"/>
  <c r="AD99" i="1"/>
  <c r="AE99" i="1"/>
  <c r="AQ99" i="1" s="1"/>
  <c r="AH99" i="1"/>
  <c r="AK99" i="1"/>
  <c r="AL99" i="1"/>
  <c r="AP99" i="1"/>
  <c r="H100" i="1"/>
  <c r="U100" i="1"/>
  <c r="V100" i="1"/>
  <c r="AH100" i="1" s="1"/>
  <c r="W100" i="1"/>
  <c r="AI100" i="1" s="1"/>
  <c r="X100" i="1"/>
  <c r="AJ100" i="1" s="1"/>
  <c r="Y100" i="1"/>
  <c r="AK100" i="1" s="1"/>
  <c r="Z100" i="1"/>
  <c r="AA100" i="1"/>
  <c r="AB100" i="1"/>
  <c r="AC100" i="1"/>
  <c r="AD100" i="1"/>
  <c r="AE100" i="1"/>
  <c r="AG100" i="1"/>
  <c r="AL100" i="1"/>
  <c r="AM100" i="1"/>
  <c r="AN100" i="1"/>
  <c r="AO100" i="1"/>
  <c r="AP100" i="1"/>
  <c r="AQ100" i="1"/>
  <c r="M101" i="1"/>
  <c r="S101" i="1"/>
  <c r="T101" i="1"/>
  <c r="U101" i="1"/>
  <c r="V101" i="1"/>
  <c r="W101" i="1"/>
  <c r="AI101" i="1" s="1"/>
  <c r="X101" i="1"/>
  <c r="AJ101" i="1" s="1"/>
  <c r="Y101" i="1"/>
  <c r="AK101" i="1" s="1"/>
  <c r="Z101" i="1"/>
  <c r="AA101" i="1"/>
  <c r="AB101" i="1"/>
  <c r="AN101" i="1" s="1"/>
  <c r="AC101" i="1"/>
  <c r="AD101" i="1"/>
  <c r="AE101" i="1"/>
  <c r="AQ101" i="1" s="1"/>
  <c r="AG101" i="1"/>
  <c r="AH101" i="1"/>
  <c r="AL101" i="1"/>
  <c r="AM101" i="1"/>
  <c r="AO101" i="1"/>
  <c r="AP101" i="1"/>
  <c r="O102" i="1"/>
  <c r="AB102" i="1" s="1"/>
  <c r="U102" i="1"/>
  <c r="V102" i="1"/>
  <c r="W102" i="1"/>
  <c r="X102" i="1"/>
  <c r="Y102" i="1"/>
  <c r="Z102" i="1"/>
  <c r="AA102" i="1"/>
  <c r="AC102" i="1"/>
  <c r="AD102" i="1"/>
  <c r="AE102" i="1"/>
  <c r="AP102" i="1"/>
  <c r="AQ102" i="1"/>
  <c r="J103" i="1"/>
  <c r="U103" i="1"/>
  <c r="V103" i="1"/>
  <c r="AH103" i="1" s="1"/>
  <c r="W103" i="1"/>
  <c r="X103" i="1"/>
  <c r="AJ103" i="1" s="1"/>
  <c r="Y103" i="1"/>
  <c r="AK103" i="1" s="1"/>
  <c r="Z103" i="1"/>
  <c r="AL103" i="1" s="1"/>
  <c r="AA103" i="1"/>
  <c r="AB103" i="1"/>
  <c r="AC103" i="1"/>
  <c r="AD103" i="1"/>
  <c r="AE103" i="1"/>
  <c r="AG103" i="1"/>
  <c r="AI103" i="1"/>
  <c r="AP103" i="1"/>
  <c r="AQ103" i="1"/>
  <c r="J104" i="1"/>
  <c r="J105" i="1"/>
  <c r="O105" i="1"/>
  <c r="S105" i="1"/>
  <c r="T105" i="1"/>
  <c r="U105" i="1"/>
  <c r="V105" i="1"/>
  <c r="AH105" i="1" s="1"/>
  <c r="W105" i="1"/>
  <c r="AI105" i="1" s="1"/>
  <c r="X105" i="1"/>
  <c r="Y105" i="1"/>
  <c r="Z105" i="1"/>
  <c r="AA105" i="1"/>
  <c r="AM105" i="1" s="1"/>
  <c r="AB105" i="1"/>
  <c r="AC105" i="1"/>
  <c r="AD105" i="1"/>
  <c r="AP105" i="1" s="1"/>
  <c r="AE105" i="1"/>
  <c r="AQ105" i="1" s="1"/>
  <c r="AG105" i="1"/>
  <c r="AJ105" i="1"/>
  <c r="AK105" i="1"/>
  <c r="AL105" i="1"/>
  <c r="AN105" i="1"/>
  <c r="AO105" i="1"/>
  <c r="H106" i="1"/>
  <c r="U106" i="1" s="1"/>
  <c r="AG106" i="1" s="1"/>
  <c r="V106" i="1"/>
  <c r="W106" i="1"/>
  <c r="AI106" i="1" s="1"/>
  <c r="X106" i="1"/>
  <c r="Y106" i="1"/>
  <c r="Z106" i="1"/>
  <c r="AA106" i="1"/>
  <c r="AM106" i="1" s="1"/>
  <c r="AB106" i="1"/>
  <c r="AN106" i="1" s="1"/>
  <c r="AC106" i="1"/>
  <c r="AD106" i="1"/>
  <c r="AP106" i="1" s="1"/>
  <c r="AE106" i="1"/>
  <c r="AQ106" i="1" s="1"/>
  <c r="AH106" i="1"/>
  <c r="AJ106" i="1"/>
  <c r="AK106" i="1"/>
  <c r="AL106" i="1"/>
  <c r="AO106" i="1"/>
  <c r="H107" i="1"/>
  <c r="M107" i="1"/>
  <c r="Z107" i="1" s="1"/>
  <c r="AL107" i="1" s="1"/>
  <c r="V107" i="1"/>
  <c r="AH107" i="1" s="1"/>
  <c r="W107" i="1"/>
  <c r="AI107" i="1" s="1"/>
  <c r="X107" i="1"/>
  <c r="AJ107" i="1" s="1"/>
  <c r="Y107" i="1"/>
  <c r="AK107" i="1" s="1"/>
  <c r="AA107" i="1"/>
  <c r="AB107" i="1"/>
  <c r="AC107" i="1"/>
  <c r="AD107" i="1"/>
  <c r="AE107" i="1"/>
  <c r="AG107" i="1"/>
  <c r="AM107" i="1"/>
  <c r="AN107" i="1"/>
  <c r="AO107" i="1"/>
  <c r="AP107" i="1"/>
  <c r="AQ107" i="1"/>
  <c r="O108" i="1"/>
  <c r="S108" i="1"/>
  <c r="T108" i="1"/>
  <c r="U108" i="1"/>
  <c r="V108" i="1"/>
  <c r="W108" i="1"/>
  <c r="AI108" i="1" s="1"/>
  <c r="X108" i="1"/>
  <c r="AJ108" i="1" s="1"/>
  <c r="Y108" i="1"/>
  <c r="AK108" i="1" s="1"/>
  <c r="Z108" i="1"/>
  <c r="AA108" i="1"/>
  <c r="AB108" i="1"/>
  <c r="AN108" i="1" s="1"/>
  <c r="AC108" i="1"/>
  <c r="AD108" i="1"/>
  <c r="AE108" i="1"/>
  <c r="AQ108" i="1" s="1"/>
  <c r="AG108" i="1"/>
  <c r="AH108" i="1"/>
  <c r="AL108" i="1"/>
  <c r="AM108" i="1"/>
  <c r="AO108" i="1"/>
  <c r="AP108" i="1"/>
  <c r="S109" i="1"/>
  <c r="T109" i="1"/>
  <c r="U109" i="1"/>
  <c r="V109" i="1"/>
  <c r="W109" i="1"/>
  <c r="AI109" i="1" s="1"/>
  <c r="X109" i="1"/>
  <c r="Y109" i="1"/>
  <c r="Z109" i="1"/>
  <c r="AA109" i="1"/>
  <c r="AM109" i="1" s="1"/>
  <c r="AB109" i="1"/>
  <c r="AN109" i="1" s="1"/>
  <c r="AC109" i="1"/>
  <c r="AD109" i="1"/>
  <c r="AE109" i="1"/>
  <c r="AQ109" i="1" s="1"/>
  <c r="AG109" i="1"/>
  <c r="AH109" i="1"/>
  <c r="AJ109" i="1"/>
  <c r="AK109" i="1"/>
  <c r="AK152" i="1" s="1"/>
  <c r="AL109" i="1"/>
  <c r="AO109" i="1"/>
  <c r="AP109" i="1"/>
  <c r="J110" i="1"/>
  <c r="S110" i="1"/>
  <c r="T110" i="1"/>
  <c r="U110" i="1"/>
  <c r="AG110" i="1" s="1"/>
  <c r="V110" i="1"/>
  <c r="AH110" i="1" s="1"/>
  <c r="W110" i="1"/>
  <c r="X110" i="1"/>
  <c r="AJ110" i="1" s="1"/>
  <c r="Y110" i="1"/>
  <c r="Z110" i="1"/>
  <c r="AA110" i="1"/>
  <c r="AB110" i="1"/>
  <c r="AN110" i="1" s="1"/>
  <c r="AC110" i="1"/>
  <c r="AD110" i="1"/>
  <c r="AP110" i="1" s="1"/>
  <c r="AE110" i="1"/>
  <c r="AI110" i="1"/>
  <c r="AK110" i="1"/>
  <c r="AL110" i="1"/>
  <c r="AM110" i="1"/>
  <c r="AO110" i="1"/>
  <c r="AQ110" i="1"/>
  <c r="S111" i="1"/>
  <c r="T111" i="1"/>
  <c r="U111" i="1"/>
  <c r="AG111" i="1" s="1"/>
  <c r="V111" i="1"/>
  <c r="AH111" i="1" s="1"/>
  <c r="W111" i="1"/>
  <c r="X111" i="1"/>
  <c r="Y111" i="1"/>
  <c r="Z111" i="1"/>
  <c r="AL111" i="1" s="1"/>
  <c r="AA111" i="1"/>
  <c r="AB111" i="1"/>
  <c r="AN111" i="1" s="1"/>
  <c r="AC111" i="1"/>
  <c r="AD111" i="1"/>
  <c r="AP111" i="1" s="1"/>
  <c r="AE111" i="1"/>
  <c r="AQ111" i="1" s="1"/>
  <c r="AI111" i="1"/>
  <c r="AJ111" i="1"/>
  <c r="AK111" i="1"/>
  <c r="AM111" i="1"/>
  <c r="AO111" i="1"/>
  <c r="K112" i="1"/>
  <c r="X112" i="1" s="1"/>
  <c r="U112" i="1"/>
  <c r="AG112" i="1" s="1"/>
  <c r="V112" i="1"/>
  <c r="W112" i="1"/>
  <c r="AI112" i="1" s="1"/>
  <c r="Y112" i="1"/>
  <c r="AK112" i="1" s="1"/>
  <c r="Z112" i="1"/>
  <c r="AA112" i="1"/>
  <c r="AB112" i="1"/>
  <c r="AC112" i="1"/>
  <c r="AD112" i="1"/>
  <c r="AP112" i="1" s="1"/>
  <c r="AE112" i="1"/>
  <c r="AQ112" i="1" s="1"/>
  <c r="AL112" i="1"/>
  <c r="AM112" i="1"/>
  <c r="AN112" i="1"/>
  <c r="AO112" i="1"/>
  <c r="H113" i="1"/>
  <c r="M113" i="1"/>
  <c r="S113" i="1"/>
  <c r="T113" i="1"/>
  <c r="U113" i="1"/>
  <c r="AG113" i="1" s="1"/>
  <c r="V113" i="1"/>
  <c r="AH113" i="1" s="1"/>
  <c r="W113" i="1"/>
  <c r="AI113" i="1" s="1"/>
  <c r="X113" i="1"/>
  <c r="Y113" i="1"/>
  <c r="AK113" i="1" s="1"/>
  <c r="Z113" i="1"/>
  <c r="AA113" i="1"/>
  <c r="AB113" i="1"/>
  <c r="AC113" i="1"/>
  <c r="AO113" i="1" s="1"/>
  <c r="AD113" i="1"/>
  <c r="AE113" i="1"/>
  <c r="AJ113" i="1"/>
  <c r="AM113" i="1"/>
  <c r="AN113" i="1"/>
  <c r="AP113" i="1"/>
  <c r="O114" i="1"/>
  <c r="S114" i="1"/>
  <c r="U114" i="1"/>
  <c r="V114" i="1"/>
  <c r="W114" i="1"/>
  <c r="X114" i="1"/>
  <c r="Y114" i="1"/>
  <c r="AK114" i="1" s="1"/>
  <c r="Z114" i="1"/>
  <c r="AL114" i="1" s="1"/>
  <c r="AA114" i="1"/>
  <c r="AM114" i="1" s="1"/>
  <c r="AC114" i="1"/>
  <c r="AD114" i="1"/>
  <c r="AP114" i="1" s="1"/>
  <c r="AE114" i="1"/>
  <c r="AG114" i="1"/>
  <c r="AH114" i="1"/>
  <c r="AI114" i="1"/>
  <c r="AJ114" i="1"/>
  <c r="AO114" i="1"/>
  <c r="AQ114" i="1"/>
  <c r="H115" i="1"/>
  <c r="U115" i="1"/>
  <c r="AG115" i="1" s="1"/>
  <c r="V115" i="1"/>
  <c r="W115" i="1"/>
  <c r="X115" i="1"/>
  <c r="Y115" i="1"/>
  <c r="Z115" i="1"/>
  <c r="AA115" i="1"/>
  <c r="AB115" i="1"/>
  <c r="AN115" i="1" s="1"/>
  <c r="AC115" i="1"/>
  <c r="AO115" i="1" s="1"/>
  <c r="AD115" i="1"/>
  <c r="AE115" i="1"/>
  <c r="AH115" i="1"/>
  <c r="AI115" i="1"/>
  <c r="AJ115" i="1"/>
  <c r="AK115" i="1"/>
  <c r="AL115" i="1"/>
  <c r="AM115" i="1"/>
  <c r="AP115" i="1"/>
  <c r="AQ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H119" i="1"/>
  <c r="U119" i="1" s="1"/>
  <c r="AG119" i="1" s="1"/>
  <c r="V119" i="1"/>
  <c r="W119" i="1"/>
  <c r="AI119" i="1" s="1"/>
  <c r="X119" i="1"/>
  <c r="AJ119" i="1" s="1"/>
  <c r="Y119" i="1"/>
  <c r="Z119" i="1"/>
  <c r="AA119" i="1"/>
  <c r="AM119" i="1" s="1"/>
  <c r="AB119" i="1"/>
  <c r="AN119" i="1" s="1"/>
  <c r="AC119" i="1"/>
  <c r="AD119" i="1"/>
  <c r="AP119" i="1" s="1"/>
  <c r="AE119" i="1"/>
  <c r="AQ119" i="1" s="1"/>
  <c r="AH119" i="1"/>
  <c r="AK119" i="1"/>
  <c r="AL119" i="1"/>
  <c r="AO119" i="1"/>
  <c r="P120" i="1"/>
  <c r="S120" i="1"/>
  <c r="T120" i="1"/>
  <c r="U120" i="1"/>
  <c r="AG120" i="1" s="1"/>
  <c r="V120" i="1"/>
  <c r="AH120" i="1" s="1"/>
  <c r="W120" i="1"/>
  <c r="AI120" i="1" s="1"/>
  <c r="X120" i="1"/>
  <c r="Y120" i="1"/>
  <c r="Z120" i="1"/>
  <c r="AA120" i="1"/>
  <c r="AB120" i="1"/>
  <c r="AN120" i="1" s="1"/>
  <c r="AC120" i="1"/>
  <c r="AO120" i="1" s="1"/>
  <c r="AD120" i="1"/>
  <c r="AP120" i="1" s="1"/>
  <c r="AE120" i="1"/>
  <c r="AJ120" i="1"/>
  <c r="AK120" i="1"/>
  <c r="AL120" i="1"/>
  <c r="AM120" i="1"/>
  <c r="AQ120" i="1"/>
  <c r="I121" i="1"/>
  <c r="J121" i="1"/>
  <c r="S121" i="1"/>
  <c r="U121" i="1"/>
  <c r="X121" i="1"/>
  <c r="I122" i="1"/>
  <c r="V122" i="1" s="1"/>
  <c r="J122" i="1"/>
  <c r="U122" i="1"/>
  <c r="AG122" i="1" s="1"/>
  <c r="W122" i="1"/>
  <c r="X122" i="1"/>
  <c r="Y122" i="1"/>
  <c r="AK122" i="1" s="1"/>
  <c r="Z122" i="1"/>
  <c r="AL122" i="1" s="1"/>
  <c r="AA122" i="1"/>
  <c r="AM122" i="1" s="1"/>
  <c r="AB122" i="1"/>
  <c r="AC122" i="1"/>
  <c r="AO122" i="1" s="1"/>
  <c r="AD122" i="1"/>
  <c r="AP122" i="1" s="1"/>
  <c r="AE122" i="1"/>
  <c r="AI122" i="1"/>
  <c r="AJ122" i="1"/>
  <c r="AN122" i="1"/>
  <c r="AQ122" i="1"/>
  <c r="O123" i="1"/>
  <c r="AB123" i="1" s="1"/>
  <c r="U123" i="1"/>
  <c r="V123" i="1"/>
  <c r="AH123" i="1" s="1"/>
  <c r="W123" i="1"/>
  <c r="AI123" i="1" s="1"/>
  <c r="X123" i="1"/>
  <c r="AJ123" i="1" s="1"/>
  <c r="Y123" i="1"/>
  <c r="Z123" i="1"/>
  <c r="AL123" i="1" s="1"/>
  <c r="AA123" i="1"/>
  <c r="AC123" i="1"/>
  <c r="AD123" i="1"/>
  <c r="AP123" i="1" s="1"/>
  <c r="AE123" i="1"/>
  <c r="AQ123" i="1" s="1"/>
  <c r="AG123" i="1"/>
  <c r="AK123" i="1"/>
  <c r="O124" i="1"/>
  <c r="U124" i="1"/>
  <c r="V124" i="1"/>
  <c r="W124" i="1"/>
  <c r="AI124" i="1" s="1"/>
  <c r="X124" i="1"/>
  <c r="AJ124" i="1" s="1"/>
  <c r="Y124" i="1"/>
  <c r="AK124" i="1" s="1"/>
  <c r="Z124" i="1"/>
  <c r="AA124" i="1"/>
  <c r="AB124" i="1"/>
  <c r="AC124" i="1"/>
  <c r="AD124" i="1"/>
  <c r="AE124" i="1"/>
  <c r="AG124" i="1"/>
  <c r="AH124" i="1"/>
  <c r="AL124" i="1"/>
  <c r="AP124" i="1"/>
  <c r="AQ124" i="1"/>
  <c r="J125" i="1"/>
  <c r="W125" i="1" s="1"/>
  <c r="AI125" i="1" s="1"/>
  <c r="U125" i="1"/>
  <c r="V125" i="1"/>
  <c r="X125" i="1"/>
  <c r="Y125" i="1"/>
  <c r="Z125" i="1"/>
  <c r="AA125" i="1"/>
  <c r="AM125" i="1" s="1"/>
  <c r="AB125" i="1"/>
  <c r="AN125" i="1" s="1"/>
  <c r="AC125" i="1"/>
  <c r="AO125" i="1" s="1"/>
  <c r="AD125" i="1"/>
  <c r="AP125" i="1" s="1"/>
  <c r="AE125" i="1"/>
  <c r="AG125" i="1"/>
  <c r="AH125" i="1"/>
  <c r="AJ125" i="1"/>
  <c r="AK125" i="1"/>
  <c r="AL125" i="1"/>
  <c r="AQ125" i="1"/>
  <c r="J126" i="1"/>
  <c r="U126" i="1"/>
  <c r="AG126" i="1" s="1"/>
  <c r="V126" i="1"/>
  <c r="W126" i="1"/>
  <c r="X126" i="1"/>
  <c r="Y126" i="1"/>
  <c r="Z126" i="1"/>
  <c r="AA126" i="1"/>
  <c r="AB126" i="1"/>
  <c r="AC126" i="1"/>
  <c r="AD126" i="1"/>
  <c r="AE126" i="1"/>
  <c r="AH126" i="1"/>
  <c r="H127" i="1"/>
  <c r="M127" i="1"/>
  <c r="U127" i="1"/>
  <c r="V127" i="1"/>
  <c r="W127" i="1"/>
  <c r="X127" i="1"/>
  <c r="AJ127" i="1" s="1"/>
  <c r="Y127" i="1"/>
  <c r="AK127" i="1" s="1"/>
  <c r="Z127" i="1"/>
  <c r="AL127" i="1" s="1"/>
  <c r="AA127" i="1"/>
  <c r="AB127" i="1"/>
  <c r="AN127" i="1" s="1"/>
  <c r="AC127" i="1"/>
  <c r="AD127" i="1"/>
  <c r="AE127" i="1"/>
  <c r="AG127" i="1"/>
  <c r="AH127" i="1"/>
  <c r="AI127" i="1"/>
  <c r="AM127" i="1"/>
  <c r="AO127" i="1"/>
  <c r="AP127" i="1"/>
  <c r="AQ127" i="1"/>
  <c r="S128" i="1"/>
  <c r="T128" i="1"/>
  <c r="U128" i="1"/>
  <c r="AG128" i="1" s="1"/>
  <c r="W128" i="1"/>
  <c r="X128" i="1"/>
  <c r="Y128" i="1"/>
  <c r="AK128" i="1" s="1"/>
  <c r="Z128" i="1"/>
  <c r="AA128" i="1"/>
  <c r="AM128" i="1" s="1"/>
  <c r="AB128" i="1"/>
  <c r="AC128" i="1"/>
  <c r="AD128" i="1"/>
  <c r="AP128" i="1" s="1"/>
  <c r="AE128" i="1"/>
  <c r="AH128" i="1"/>
  <c r="AI128" i="1"/>
  <c r="AJ128" i="1"/>
  <c r="AL128" i="1"/>
  <c r="AN128" i="1"/>
  <c r="AO128" i="1"/>
  <c r="AQ128" i="1"/>
  <c r="N129" i="1"/>
  <c r="AA129" i="1" s="1"/>
  <c r="U129" i="1"/>
  <c r="AG129" i="1" s="1"/>
  <c r="V129" i="1"/>
  <c r="AH129" i="1" s="1"/>
  <c r="W129" i="1"/>
  <c r="AI129" i="1" s="1"/>
  <c r="X129" i="1"/>
  <c r="Y129" i="1"/>
  <c r="Z129" i="1"/>
  <c r="AB129" i="1"/>
  <c r="AC129" i="1"/>
  <c r="AD129" i="1"/>
  <c r="AP129" i="1" s="1"/>
  <c r="AE129" i="1"/>
  <c r="AQ129" i="1" s="1"/>
  <c r="AJ129" i="1"/>
  <c r="AK129" i="1"/>
  <c r="AL129" i="1"/>
  <c r="M130" i="1"/>
  <c r="Z130" i="1" s="1"/>
  <c r="AL130" i="1" s="1"/>
  <c r="S130" i="1"/>
  <c r="T130" i="1"/>
  <c r="U130" i="1"/>
  <c r="AG130" i="1" s="1"/>
  <c r="V130" i="1"/>
  <c r="AH130" i="1" s="1"/>
  <c r="W130" i="1"/>
  <c r="X130" i="1"/>
  <c r="Y130" i="1"/>
  <c r="AA130" i="1"/>
  <c r="AM130" i="1" s="1"/>
  <c r="AB130" i="1"/>
  <c r="AN130" i="1" s="1"/>
  <c r="AC130" i="1"/>
  <c r="AO130" i="1" s="1"/>
  <c r="AD130" i="1"/>
  <c r="AP130" i="1" s="1"/>
  <c r="AE130" i="1"/>
  <c r="AI130" i="1"/>
  <c r="AJ130" i="1"/>
  <c r="AK130" i="1"/>
  <c r="AQ130" i="1"/>
  <c r="H131" i="1"/>
  <c r="I131" i="1"/>
  <c r="V131" i="1" s="1"/>
  <c r="AH131" i="1" s="1"/>
  <c r="U131" i="1"/>
  <c r="AG131" i="1" s="1"/>
  <c r="W131" i="1"/>
  <c r="X131" i="1"/>
  <c r="Y131" i="1"/>
  <c r="Z131" i="1"/>
  <c r="AA131" i="1"/>
  <c r="AM131" i="1" s="1"/>
  <c r="AB131" i="1"/>
  <c r="AN131" i="1" s="1"/>
  <c r="AC131" i="1"/>
  <c r="AO131" i="1" s="1"/>
  <c r="AD131" i="1"/>
  <c r="AP131" i="1" s="1"/>
  <c r="AE131" i="1"/>
  <c r="AI131" i="1"/>
  <c r="AJ131" i="1"/>
  <c r="AK131" i="1"/>
  <c r="AL131" i="1"/>
  <c r="AQ131" i="1"/>
  <c r="I132" i="1"/>
  <c r="V132" i="1" s="1"/>
  <c r="AH132" i="1" s="1"/>
  <c r="J132" i="1"/>
  <c r="W132" i="1" s="1"/>
  <c r="AI132" i="1" s="1"/>
  <c r="U132" i="1"/>
  <c r="AG132" i="1" s="1"/>
  <c r="X132" i="1"/>
  <c r="Y132" i="1"/>
  <c r="Z132" i="1"/>
  <c r="AA132" i="1"/>
  <c r="AM132" i="1" s="1"/>
  <c r="AB132" i="1"/>
  <c r="AN132" i="1" s="1"/>
  <c r="AC132" i="1"/>
  <c r="AO132" i="1" s="1"/>
  <c r="AD132" i="1"/>
  <c r="AP132" i="1" s="1"/>
  <c r="AE132" i="1"/>
  <c r="AJ132" i="1"/>
  <c r="AK132" i="1"/>
  <c r="AL132" i="1"/>
  <c r="AQ132" i="1"/>
  <c r="S133" i="1"/>
  <c r="T133" i="1"/>
  <c r="U133" i="1"/>
  <c r="AG133" i="1" s="1"/>
  <c r="V133" i="1"/>
  <c r="AH133" i="1" s="1"/>
  <c r="W133" i="1"/>
  <c r="X133" i="1"/>
  <c r="Y133" i="1"/>
  <c r="Z133" i="1"/>
  <c r="AA133" i="1"/>
  <c r="AM133" i="1" s="1"/>
  <c r="AB133" i="1"/>
  <c r="AN133" i="1" s="1"/>
  <c r="AC133" i="1"/>
  <c r="AO133" i="1" s="1"/>
  <c r="AD133" i="1"/>
  <c r="AP133" i="1" s="1"/>
  <c r="AE133" i="1"/>
  <c r="AI133" i="1"/>
  <c r="AJ133" i="1"/>
  <c r="AK133" i="1"/>
  <c r="AL133" i="1"/>
  <c r="AQ133" i="1"/>
  <c r="O134" i="1"/>
  <c r="AB134" i="1" s="1"/>
  <c r="AN134" i="1" s="1"/>
  <c r="U134" i="1"/>
  <c r="AG134" i="1" s="1"/>
  <c r="V134" i="1"/>
  <c r="AH134" i="1" s="1"/>
  <c r="W134" i="1"/>
  <c r="AI134" i="1" s="1"/>
  <c r="X134" i="1"/>
  <c r="Y134" i="1"/>
  <c r="Z134" i="1"/>
  <c r="AA134" i="1"/>
  <c r="AC134" i="1"/>
  <c r="AO134" i="1" s="1"/>
  <c r="AD134" i="1"/>
  <c r="AP134" i="1" s="1"/>
  <c r="AE134" i="1"/>
  <c r="AQ134" i="1" s="1"/>
  <c r="AJ134" i="1"/>
  <c r="AK134" i="1"/>
  <c r="AL134" i="1"/>
  <c r="AM134" i="1"/>
  <c r="M135" i="1"/>
  <c r="Z135" i="1" s="1"/>
  <c r="AL135" i="1" s="1"/>
  <c r="U135" i="1"/>
  <c r="AG135" i="1" s="1"/>
  <c r="V135" i="1"/>
  <c r="AH135" i="1" s="1"/>
  <c r="W135" i="1"/>
  <c r="AI135" i="1" s="1"/>
  <c r="X135" i="1"/>
  <c r="AJ135" i="1" s="1"/>
  <c r="Y135" i="1"/>
  <c r="AA135" i="1"/>
  <c r="AB135" i="1"/>
  <c r="AC135" i="1"/>
  <c r="AO135" i="1" s="1"/>
  <c r="AD135" i="1"/>
  <c r="AP135" i="1" s="1"/>
  <c r="AE135" i="1"/>
  <c r="AQ135" i="1" s="1"/>
  <c r="AK135" i="1"/>
  <c r="AM135" i="1"/>
  <c r="AN135" i="1"/>
  <c r="H136" i="1"/>
  <c r="M136" i="1"/>
  <c r="Z136" i="1" s="1"/>
  <c r="S136" i="1"/>
  <c r="T136" i="1"/>
  <c r="U136" i="1"/>
  <c r="V136" i="1"/>
  <c r="AH136" i="1" s="1"/>
  <c r="W136" i="1"/>
  <c r="X136" i="1"/>
  <c r="Y136" i="1"/>
  <c r="AA136" i="1"/>
  <c r="AM136" i="1" s="1"/>
  <c r="AB136" i="1"/>
  <c r="AC136" i="1"/>
  <c r="AO136" i="1" s="1"/>
  <c r="AD136" i="1"/>
  <c r="AP136" i="1" s="1"/>
  <c r="AE136" i="1"/>
  <c r="AI136" i="1"/>
  <c r="AJ136" i="1"/>
  <c r="AJ151" i="1" s="1"/>
  <c r="AK136" i="1"/>
  <c r="AQ136" i="1"/>
  <c r="H137" i="1"/>
  <c r="U137" i="1"/>
  <c r="AG137" i="1" s="1"/>
  <c r="V137" i="1"/>
  <c r="W137" i="1"/>
  <c r="AI137" i="1" s="1"/>
  <c r="X137" i="1"/>
  <c r="Y137" i="1"/>
  <c r="Y151" i="1" s="1"/>
  <c r="Z137" i="1"/>
  <c r="AA137" i="1"/>
  <c r="AB137" i="1"/>
  <c r="AN137" i="1" s="1"/>
  <c r="AC137" i="1"/>
  <c r="AO137" i="1" s="1"/>
  <c r="AD137" i="1"/>
  <c r="AE137" i="1"/>
  <c r="AQ137" i="1" s="1"/>
  <c r="AJ137" i="1"/>
  <c r="AK137" i="1"/>
  <c r="AL137" i="1"/>
  <c r="AM137" i="1"/>
  <c r="L138" i="1"/>
  <c r="Y138" i="1" s="1"/>
  <c r="S138" i="1"/>
  <c r="T138" i="1"/>
  <c r="U138" i="1"/>
  <c r="AG138" i="1" s="1"/>
  <c r="V138" i="1"/>
  <c r="AH138" i="1" s="1"/>
  <c r="W138" i="1"/>
  <c r="X138" i="1"/>
  <c r="Z138" i="1"/>
  <c r="AA138" i="1"/>
  <c r="AM138" i="1" s="1"/>
  <c r="AB138" i="1"/>
  <c r="AN138" i="1" s="1"/>
  <c r="AC138" i="1"/>
  <c r="AO138" i="1" s="1"/>
  <c r="AD138" i="1"/>
  <c r="AP138" i="1" s="1"/>
  <c r="AE138" i="1"/>
  <c r="AI138" i="1"/>
  <c r="AJ138" i="1"/>
  <c r="AL138" i="1"/>
  <c r="AQ138" i="1"/>
  <c r="H139" i="1"/>
  <c r="U139" i="1"/>
  <c r="AG139" i="1" s="1"/>
  <c r="V139" i="1"/>
  <c r="W139" i="1"/>
  <c r="AI139" i="1" s="1"/>
  <c r="X139" i="1"/>
  <c r="Y139" i="1"/>
  <c r="Y154" i="1" s="1"/>
  <c r="Y155" i="1" s="1"/>
  <c r="Z139" i="1"/>
  <c r="AA139" i="1"/>
  <c r="AB139" i="1"/>
  <c r="AN139" i="1" s="1"/>
  <c r="AC139" i="1"/>
  <c r="AO139" i="1" s="1"/>
  <c r="AD139" i="1"/>
  <c r="AE139" i="1"/>
  <c r="AQ139" i="1" s="1"/>
  <c r="AJ139" i="1"/>
  <c r="AK139" i="1"/>
  <c r="AL139" i="1"/>
  <c r="AM139" i="1"/>
  <c r="H140" i="1"/>
  <c r="U140" i="1"/>
  <c r="AG140" i="1" s="1"/>
  <c r="V140" i="1"/>
  <c r="AH140" i="1" s="1"/>
  <c r="W140" i="1"/>
  <c r="X140" i="1"/>
  <c r="AJ140" i="1" s="1"/>
  <c r="Y140" i="1"/>
  <c r="Z140" i="1"/>
  <c r="Z141" i="1" s="1"/>
  <c r="AA140" i="1"/>
  <c r="AB140" i="1"/>
  <c r="AB141" i="1" s="1"/>
  <c r="AC140" i="1"/>
  <c r="AO140" i="1" s="1"/>
  <c r="AD140" i="1"/>
  <c r="AD141" i="1" s="1"/>
  <c r="AD142" i="1" s="1"/>
  <c r="AE140" i="1"/>
  <c r="AQ140" i="1" s="1"/>
  <c r="AK140" i="1"/>
  <c r="AL140" i="1"/>
  <c r="AM140" i="1"/>
  <c r="AN140" i="1"/>
  <c r="X141" i="1"/>
  <c r="Y141" i="1"/>
  <c r="Y142" i="1" s="1"/>
  <c r="AA141" i="1"/>
  <c r="AA142" i="1"/>
  <c r="V146" i="1"/>
  <c r="W146" i="1"/>
  <c r="X146" i="1"/>
  <c r="Z146" i="1"/>
  <c r="Z147" i="1" s="1"/>
  <c r="Z148" i="1" s="1"/>
  <c r="AA146" i="1"/>
  <c r="AA147" i="1" s="1"/>
  <c r="AA148" i="1" s="1"/>
  <c r="AB146" i="1"/>
  <c r="AB147" i="1" s="1"/>
  <c r="AB148" i="1" s="1"/>
  <c r="AC146" i="1"/>
  <c r="AD146" i="1"/>
  <c r="AE146" i="1"/>
  <c r="V147" i="1"/>
  <c r="V148" i="1" s="1"/>
  <c r="W147" i="1"/>
  <c r="W148" i="1" s="1"/>
  <c r="X147" i="1"/>
  <c r="X148" i="1" s="1"/>
  <c r="AC147" i="1"/>
  <c r="AD147" i="1"/>
  <c r="AD148" i="1" s="1"/>
  <c r="AE147" i="1"/>
  <c r="AE148" i="1" s="1"/>
  <c r="AC148" i="1"/>
  <c r="AM149" i="1"/>
  <c r="AN149" i="1" s="1"/>
  <c r="AO149" i="1" s="1"/>
  <c r="AP149" i="1" s="1"/>
  <c r="AQ149" i="1" s="1"/>
  <c r="AA153" i="1"/>
  <c r="AA154" i="1"/>
  <c r="AA155" i="1" s="1"/>
  <c r="AK155" i="1" l="1"/>
  <c r="Y156" i="1"/>
  <c r="Y157" i="1" s="1"/>
  <c r="AB150" i="1"/>
  <c r="AH122" i="1"/>
  <c r="AG152" i="1"/>
  <c r="AD154" i="1"/>
  <c r="AD155" i="1" s="1"/>
  <c r="AH151" i="1"/>
  <c r="AL150" i="1"/>
  <c r="AL154" i="1" s="1"/>
  <c r="AD153" i="1"/>
  <c r="AJ150" i="1"/>
  <c r="AJ154" i="1" s="1"/>
  <c r="AI150" i="1"/>
  <c r="AI152" i="1"/>
  <c r="AB142" i="1"/>
  <c r="AB154" i="1"/>
  <c r="AB155" i="1" s="1"/>
  <c r="AP150" i="1"/>
  <c r="AH150" i="1"/>
  <c r="AH153" i="1" s="1"/>
  <c r="V152" i="1"/>
  <c r="AO151" i="1"/>
  <c r="AM129" i="1"/>
  <c r="AG150" i="1"/>
  <c r="AG154" i="1" s="1"/>
  <c r="AP152" i="1"/>
  <c r="Y152" i="1"/>
  <c r="AK138" i="1"/>
  <c r="AK153" i="1" s="1"/>
  <c r="Y153" i="1"/>
  <c r="AB153" i="1"/>
  <c r="AA156" i="1"/>
  <c r="AA157" i="1" s="1"/>
  <c r="AM155" i="1"/>
  <c r="Z142" i="1"/>
  <c r="Z152" i="1" s="1"/>
  <c r="Z154" i="1"/>
  <c r="Z155" i="1" s="1"/>
  <c r="AQ151" i="1"/>
  <c r="AM151" i="1"/>
  <c r="Z153" i="1"/>
  <c r="AL136" i="1"/>
  <c r="AK150" i="1"/>
  <c r="AK154" i="1" s="1"/>
  <c r="AQ150" i="1"/>
  <c r="AQ154" i="1" s="1"/>
  <c r="AJ112" i="1"/>
  <c r="AJ152" i="1" s="1"/>
  <c r="AQ113" i="1"/>
  <c r="AQ152" i="1" s="1"/>
  <c r="AS159" i="3"/>
  <c r="AK159" i="3"/>
  <c r="AR67" i="3"/>
  <c r="AR79" i="3" s="1"/>
  <c r="AF79" i="3"/>
  <c r="AL64" i="3"/>
  <c r="Z79" i="3"/>
  <c r="Z81" i="3"/>
  <c r="Z82" i="3" s="1"/>
  <c r="Z83" i="3" s="1"/>
  <c r="AL79" i="3"/>
  <c r="AN62" i="3"/>
  <c r="AN79" i="3" s="1"/>
  <c r="AB79" i="3"/>
  <c r="AB81" i="3"/>
  <c r="AB82" i="3" s="1"/>
  <c r="AB83" i="3" s="1"/>
  <c r="Z88" i="1"/>
  <c r="AL88" i="1" s="1"/>
  <c r="AE141" i="1"/>
  <c r="AE53" i="3"/>
  <c r="AE54" i="3" s="1"/>
  <c r="AE55" i="3" s="1"/>
  <c r="AE51" i="3"/>
  <c r="AD152" i="1"/>
  <c r="AK151" i="1"/>
  <c r="AB151" i="1"/>
  <c r="AJ173" i="3"/>
  <c r="AK173" i="3"/>
  <c r="AL173" i="3"/>
  <c r="AR173" i="3"/>
  <c r="AM171" i="3"/>
  <c r="AL159" i="3"/>
  <c r="AL139" i="3"/>
  <c r="AL175" i="3" s="1"/>
  <c r="AL177" i="3" s="1"/>
  <c r="Z177" i="3"/>
  <c r="Z178" i="3" s="1"/>
  <c r="Z179" i="3" s="1"/>
  <c r="AQ93" i="3"/>
  <c r="AQ120" i="3" s="1"/>
  <c r="AE122" i="3"/>
  <c r="AE123" i="3" s="1"/>
  <c r="AE124" i="3" s="1"/>
  <c r="AI93" i="3"/>
  <c r="W122" i="3"/>
  <c r="W123" i="3" s="1"/>
  <c r="W124" i="3" s="1"/>
  <c r="AI120" i="3"/>
  <c r="AN120" i="3"/>
  <c r="AA151" i="1"/>
  <c r="Y150" i="1"/>
  <c r="AC141" i="1"/>
  <c r="U141" i="1"/>
  <c r="AL113" i="1"/>
  <c r="AL152" i="1" s="1"/>
  <c r="U92" i="1"/>
  <c r="AG92" i="1" s="1"/>
  <c r="H153" i="3"/>
  <c r="H150" i="3"/>
  <c r="AR150" i="3"/>
  <c r="AS150" i="3"/>
  <c r="AI150" i="3"/>
  <c r="AJ150" i="3"/>
  <c r="AL150" i="3"/>
  <c r="AF177" i="3"/>
  <c r="AF178" i="3" s="1"/>
  <c r="AF179" i="3" s="1"/>
  <c r="X177" i="3"/>
  <c r="X178" i="3" s="1"/>
  <c r="X179" i="3" s="1"/>
  <c r="AP93" i="3"/>
  <c r="AP120" i="3" s="1"/>
  <c r="AD122" i="3"/>
  <c r="AD123" i="3" s="1"/>
  <c r="AD124" i="3" s="1"/>
  <c r="AJ51" i="3"/>
  <c r="AM13" i="3"/>
  <c r="AM51" i="3" s="1"/>
  <c r="AA53" i="3"/>
  <c r="AA54" i="3" s="1"/>
  <c r="AA55" i="3" s="1"/>
  <c r="AA51" i="3"/>
  <c r="AQ11" i="3"/>
  <c r="AQ51" i="3" s="1"/>
  <c r="AD151" i="1"/>
  <c r="AN159" i="3"/>
  <c r="AA150" i="1"/>
  <c r="AM159" i="3"/>
  <c r="AM139" i="3"/>
  <c r="AA177" i="3"/>
  <c r="AA178" i="3" s="1"/>
  <c r="AA179" i="3" s="1"/>
  <c r="V141" i="1"/>
  <c r="V142" i="1" s="1"/>
  <c r="AP137" i="1"/>
  <c r="AP151" i="1" s="1"/>
  <c r="AG136" i="1"/>
  <c r="AH112" i="1"/>
  <c r="AH152" i="1" s="1"/>
  <c r="AS173" i="3"/>
  <c r="AS153" i="3"/>
  <c r="AJ153" i="3"/>
  <c r="AR153" i="3"/>
  <c r="AG53" i="3"/>
  <c r="AG54" i="3" s="1"/>
  <c r="AG55" i="3" s="1"/>
  <c r="AS49" i="3"/>
  <c r="AS51" i="3" s="1"/>
  <c r="AG51" i="3"/>
  <c r="AK49" i="3"/>
  <c r="AK51" i="3" s="1"/>
  <c r="Y51" i="3"/>
  <c r="Y53" i="3"/>
  <c r="Y54" i="3" s="1"/>
  <c r="Y55" i="3" s="1"/>
  <c r="H171" i="3"/>
  <c r="AK171" i="3"/>
  <c r="W141" i="1"/>
  <c r="Z150" i="1"/>
  <c r="AB152" i="1"/>
  <c r="AI140" i="1"/>
  <c r="AI154" i="1" s="1"/>
  <c r="AH139" i="1"/>
  <c r="AH137" i="1"/>
  <c r="AA152" i="1"/>
  <c r="X142" i="1"/>
  <c r="X151" i="1" s="1"/>
  <c r="AP140" i="1"/>
  <c r="AP153" i="1" s="1"/>
  <c r="AN136" i="1"/>
  <c r="T93" i="1"/>
  <c r="X82" i="1"/>
  <c r="AJ82" i="1" s="1"/>
  <c r="T82" i="1"/>
  <c r="V75" i="1"/>
  <c r="AH75" i="1" s="1"/>
  <c r="T66" i="1"/>
  <c r="U66" i="1"/>
  <c r="AG66" i="1" s="1"/>
  <c r="AM173" i="3"/>
  <c r="AM153" i="3"/>
  <c r="AN153" i="3"/>
  <c r="AQ61" i="3"/>
  <c r="AQ79" i="3" s="1"/>
  <c r="AE81" i="3"/>
  <c r="AE82" i="3" s="1"/>
  <c r="AE83" i="3" s="1"/>
  <c r="AE79" i="3"/>
  <c r="AI61" i="3"/>
  <c r="AI79" i="3" s="1"/>
  <c r="W81" i="3"/>
  <c r="W82" i="3" s="1"/>
  <c r="W83" i="3" s="1"/>
  <c r="W79" i="3"/>
  <c r="AN171" i="3"/>
  <c r="AB177" i="3"/>
  <c r="AB178" i="3" s="1"/>
  <c r="AB179" i="3" s="1"/>
  <c r="W53" i="3"/>
  <c r="W54" i="3" s="1"/>
  <c r="W55" i="3" s="1"/>
  <c r="AI11" i="3"/>
  <c r="AI51" i="3" s="1"/>
  <c r="W51" i="3"/>
  <c r="T62" i="1"/>
  <c r="AC62" i="1"/>
  <c r="AO62" i="1" s="1"/>
  <c r="AP139" i="1"/>
  <c r="AD150" i="1"/>
  <c r="T114" i="1"/>
  <c r="AB114" i="1"/>
  <c r="AN114" i="1" s="1"/>
  <c r="T94" i="1"/>
  <c r="T69" i="1"/>
  <c r="T64" i="1"/>
  <c r="AL153" i="3"/>
  <c r="AM97" i="3"/>
  <c r="AA122" i="3"/>
  <c r="AA123" i="3" s="1"/>
  <c r="AA124" i="3" s="1"/>
  <c r="AM64" i="3"/>
  <c r="AA79" i="3"/>
  <c r="AA81" i="3"/>
  <c r="AA82" i="3" s="1"/>
  <c r="AA83" i="3" s="1"/>
  <c r="AO79" i="3"/>
  <c r="AD81" i="3"/>
  <c r="AD82" i="3" s="1"/>
  <c r="AD83" i="3" s="1"/>
  <c r="AD79" i="3"/>
  <c r="AP61" i="3"/>
  <c r="AP79" i="3" s="1"/>
  <c r="AN173" i="3"/>
  <c r="AO171" i="3"/>
  <c r="AR171" i="3"/>
  <c r="AS171" i="3"/>
  <c r="AQ167" i="3"/>
  <c r="AI167" i="3"/>
  <c r="AN150" i="3"/>
  <c r="AK131" i="3"/>
  <c r="AK175" i="3" s="1"/>
  <c r="AK177" i="3" s="1"/>
  <c r="Y177" i="3"/>
  <c r="Y178" i="3" s="1"/>
  <c r="Y179" i="3" s="1"/>
  <c r="Y79" i="3"/>
  <c r="AK64" i="3"/>
  <c r="AK79" i="3"/>
  <c r="AB53" i="3"/>
  <c r="AB54" i="3" s="1"/>
  <c r="AB55" i="3" s="1"/>
  <c r="AN13" i="3"/>
  <c r="AB51" i="3"/>
  <c r="H168" i="3"/>
  <c r="AS168" i="3"/>
  <c r="AK167" i="3"/>
  <c r="AL167" i="3"/>
  <c r="AQ130" i="3"/>
  <c r="AQ175" i="3" s="1"/>
  <c r="AE177" i="3"/>
  <c r="AE178" i="3" s="1"/>
  <c r="AE179" i="3" s="1"/>
  <c r="AI130" i="3"/>
  <c r="W177" i="3"/>
  <c r="W178" i="3" s="1"/>
  <c r="W179" i="3" s="1"/>
  <c r="AJ49" i="3"/>
  <c r="X51" i="3"/>
  <c r="X53" i="3"/>
  <c r="X54" i="3" s="1"/>
  <c r="X55" i="3" s="1"/>
  <c r="AJ171" i="3"/>
  <c r="AO168" i="3"/>
  <c r="AO175" i="3" s="1"/>
  <c r="AO177" i="3" s="1"/>
  <c r="AS167" i="3"/>
  <c r="H164" i="3"/>
  <c r="AL163" i="3"/>
  <c r="AM163" i="3"/>
  <c r="AP158" i="3"/>
  <c r="AP153" i="3"/>
  <c r="AG79" i="3"/>
  <c r="AM168" i="3"/>
  <c r="AN167" i="3"/>
  <c r="H159" i="3"/>
  <c r="AL158" i="3"/>
  <c r="AM158" i="3"/>
  <c r="AO153" i="3"/>
  <c r="H114" i="4"/>
  <c r="AR172" i="3"/>
  <c r="AP172" i="3"/>
  <c r="H172" i="3"/>
  <c r="AR169" i="3"/>
  <c r="AP169" i="3"/>
  <c r="AQ165" i="3"/>
  <c r="AI165" i="3"/>
  <c r="AQ160" i="3"/>
  <c r="AI160" i="3"/>
  <c r="AS155" i="3"/>
  <c r="AP155" i="3"/>
  <c r="H155" i="3"/>
  <c r="AP130" i="3"/>
  <c r="AD177" i="3"/>
  <c r="AD178" i="3" s="1"/>
  <c r="AD179" i="3" s="1"/>
  <c r="AS89" i="3"/>
  <c r="AS120" i="3" s="1"/>
  <c r="AG122" i="3"/>
  <c r="AG123" i="3" s="1"/>
  <c r="AG124" i="3" s="1"/>
  <c r="AK89" i="3"/>
  <c r="AK120" i="3" s="1"/>
  <c r="Y122" i="3"/>
  <c r="Y123" i="3" s="1"/>
  <c r="Y124" i="3" s="1"/>
  <c r="AP15" i="3"/>
  <c r="AD51" i="3"/>
  <c r="AD53" i="3"/>
  <c r="AD54" i="3" s="1"/>
  <c r="AD55" i="3" s="1"/>
  <c r="AL13" i="3"/>
  <c r="Z53" i="3"/>
  <c r="Z54" i="3" s="1"/>
  <c r="Z55" i="3" s="1"/>
  <c r="AO51" i="3"/>
  <c r="AN51" i="3"/>
  <c r="AP51" i="3"/>
  <c r="AO169" i="3"/>
  <c r="AR168" i="3"/>
  <c r="AJ168" i="3"/>
  <c r="H165" i="3"/>
  <c r="AR164" i="3"/>
  <c r="AJ164" i="3"/>
  <c r="H160" i="3"/>
  <c r="AR159" i="3"/>
  <c r="AJ159" i="3"/>
  <c r="AS134" i="3"/>
  <c r="AK134" i="3"/>
  <c r="AC177" i="3"/>
  <c r="AC178" i="3" s="1"/>
  <c r="AC179" i="3" s="1"/>
  <c r="AR130" i="3"/>
  <c r="AJ130" i="3"/>
  <c r="AS130" i="3"/>
  <c r="AF122" i="3"/>
  <c r="AF123" i="3" s="1"/>
  <c r="AF124" i="3" s="1"/>
  <c r="AJ89" i="3"/>
  <c r="AJ120" i="3" s="1"/>
  <c r="X122" i="3"/>
  <c r="X123" i="3" s="1"/>
  <c r="X124" i="3" s="1"/>
  <c r="AQ171" i="3"/>
  <c r="AI171" i="3"/>
  <c r="AQ168" i="3"/>
  <c r="AI168" i="3"/>
  <c r="AQ164" i="3"/>
  <c r="AI164" i="3"/>
  <c r="AS163" i="3"/>
  <c r="AK163" i="3"/>
  <c r="AQ159" i="3"/>
  <c r="AI159" i="3"/>
  <c r="AS158" i="3"/>
  <c r="AK158" i="3"/>
  <c r="AN175" i="3"/>
  <c r="AP171" i="3"/>
  <c r="AP168" i="3"/>
  <c r="AR167" i="3"/>
  <c r="AJ167" i="3"/>
  <c r="AP164" i="3"/>
  <c r="AR163" i="3"/>
  <c r="AJ163" i="3"/>
  <c r="AP159" i="3"/>
  <c r="AR158" i="3"/>
  <c r="AJ158" i="3"/>
  <c r="AQ153" i="3"/>
  <c r="AI153" i="3"/>
  <c r="AN134" i="3"/>
  <c r="AM130" i="3"/>
  <c r="AM120" i="3"/>
  <c r="AR89" i="3"/>
  <c r="AR120" i="3" s="1"/>
  <c r="AC79" i="3"/>
  <c r="AS79" i="3"/>
  <c r="AF81" i="3"/>
  <c r="AF82" i="3" s="1"/>
  <c r="AF83" i="3" s="1"/>
  <c r="AJ61" i="3"/>
  <c r="AJ79" i="3" s="1"/>
  <c r="X81" i="3"/>
  <c r="X82" i="3" s="1"/>
  <c r="X83" i="3" s="1"/>
  <c r="X79" i="3"/>
  <c r="AQ136" i="3"/>
  <c r="AI136" i="3"/>
  <c r="Z122" i="3"/>
  <c r="Z123" i="3" s="1"/>
  <c r="Z124" i="3" s="1"/>
  <c r="AO15" i="3"/>
  <c r="AC53" i="3"/>
  <c r="AC54" i="3" s="1"/>
  <c r="AC55" i="3" s="1"/>
  <c r="E8" i="2"/>
  <c r="D15" i="2" s="1"/>
  <c r="AH102" i="1" s="1"/>
  <c r="C15" i="2"/>
  <c r="AG102" i="1" s="1"/>
  <c r="H136" i="3"/>
  <c r="AG81" i="3"/>
  <c r="AG82" i="3" s="1"/>
  <c r="AG83" i="3" s="1"/>
  <c r="Y81" i="3"/>
  <c r="Y82" i="3" s="1"/>
  <c r="Y83" i="3" s="1"/>
  <c r="AM79" i="3"/>
  <c r="I14" i="2"/>
  <c r="J7" i="2"/>
  <c r="AO91" i="3"/>
  <c r="AO120" i="3" s="1"/>
  <c r="AC122" i="3"/>
  <c r="AC123" i="3" s="1"/>
  <c r="AC124" i="3" s="1"/>
  <c r="AR11" i="3"/>
  <c r="AR51" i="3" s="1"/>
  <c r="AF51" i="3"/>
  <c r="AF53" i="3"/>
  <c r="AF54" i="3" s="1"/>
  <c r="AF55" i="3" s="1"/>
  <c r="AP19" i="3"/>
  <c r="H19" i="3"/>
  <c r="AO14" i="3"/>
  <c r="AC51" i="3"/>
  <c r="AN19" i="3"/>
  <c r="Z51" i="3"/>
  <c r="AL11" i="3"/>
  <c r="AL51" i="3" s="1"/>
  <c r="AN151" i="1" l="1"/>
  <c r="AS175" i="3"/>
  <c r="AS177" i="3" s="1"/>
  <c r="Z156" i="1"/>
  <c r="Z157" i="1" s="1"/>
  <c r="AL155" i="1"/>
  <c r="AM175" i="3"/>
  <c r="AM177" i="3" s="1"/>
  <c r="AR175" i="3"/>
  <c r="AR177" i="3" s="1"/>
  <c r="X153" i="1"/>
  <c r="X154" i="1"/>
  <c r="X155" i="1" s="1"/>
  <c r="AB156" i="1"/>
  <c r="AB157" i="1" s="1"/>
  <c r="AN155" i="1"/>
  <c r="X150" i="1"/>
  <c r="K7" i="2"/>
  <c r="K14" i="2" s="1"/>
  <c r="U142" i="1"/>
  <c r="U154" i="1" s="1"/>
  <c r="U155" i="1" s="1"/>
  <c r="AE142" i="1"/>
  <c r="AE151" i="1" s="1"/>
  <c r="AL153" i="1"/>
  <c r="AL151" i="1"/>
  <c r="V153" i="1"/>
  <c r="AQ153" i="1"/>
  <c r="V150" i="1"/>
  <c r="AM103" i="1"/>
  <c r="AM123" i="1"/>
  <c r="AA158" i="1"/>
  <c r="AM157" i="1"/>
  <c r="AI153" i="1"/>
  <c r="AI151" i="1"/>
  <c r="AN177" i="3"/>
  <c r="AJ175" i="3"/>
  <c r="AJ177" i="3" s="1"/>
  <c r="F8" i="2"/>
  <c r="E15" i="2"/>
  <c r="AI102" i="1" s="1"/>
  <c r="AP175" i="3"/>
  <c r="AP177" i="3" s="1"/>
  <c r="W142" i="1"/>
  <c r="W151" i="1"/>
  <c r="AC150" i="1"/>
  <c r="AC142" i="1"/>
  <c r="AC152" i="1" s="1"/>
  <c r="V154" i="1"/>
  <c r="V155" i="1" s="1"/>
  <c r="AI175" i="3"/>
  <c r="AI177" i="3" s="1"/>
  <c r="H177" i="3" s="1"/>
  <c r="AP154" i="1"/>
  <c r="AG151" i="1"/>
  <c r="AG153" i="1"/>
  <c r="AC151" i="1"/>
  <c r="V151" i="1"/>
  <c r="X152" i="1"/>
  <c r="Z151" i="1"/>
  <c r="AD156" i="1"/>
  <c r="AD157" i="1" s="1"/>
  <c r="AP155" i="1"/>
  <c r="Y158" i="1"/>
  <c r="AK157" i="1"/>
  <c r="AQ177" i="3"/>
  <c r="AJ153" i="1"/>
  <c r="AM124" i="1"/>
  <c r="AH154" i="1"/>
  <c r="AG155" i="1" l="1"/>
  <c r="U156" i="1"/>
  <c r="U157" i="1" s="1"/>
  <c r="AO123" i="1"/>
  <c r="AO124" i="1"/>
  <c r="AO103" i="1"/>
  <c r="AO129" i="1"/>
  <c r="W154" i="1"/>
  <c r="W155" i="1" s="1"/>
  <c r="W150" i="1"/>
  <c r="AL157" i="1"/>
  <c r="Z158" i="1"/>
  <c r="AA159" i="1"/>
  <c r="AM159" i="1" s="1"/>
  <c r="AM158" i="1"/>
  <c r="J14" i="2"/>
  <c r="Y159" i="1"/>
  <c r="AK159" i="1" s="1"/>
  <c r="AK158" i="1"/>
  <c r="AP157" i="1"/>
  <c r="AD158" i="1"/>
  <c r="AM152" i="1"/>
  <c r="AM150" i="1"/>
  <c r="W152" i="1"/>
  <c r="AE150" i="1"/>
  <c r="AE154" i="1"/>
  <c r="AE155" i="1" s="1"/>
  <c r="AE152" i="1"/>
  <c r="AE153" i="1"/>
  <c r="AN157" i="1"/>
  <c r="AB158" i="1"/>
  <c r="AH155" i="1"/>
  <c r="V156" i="1"/>
  <c r="V157" i="1" s="1"/>
  <c r="G8" i="2"/>
  <c r="F15" i="2"/>
  <c r="AJ102" i="1" s="1"/>
  <c r="U150" i="1"/>
  <c r="X156" i="1"/>
  <c r="X157" i="1" s="1"/>
  <c r="AJ155" i="1"/>
  <c r="AC154" i="1"/>
  <c r="AC155" i="1" s="1"/>
  <c r="AC153" i="1"/>
  <c r="U153" i="1"/>
  <c r="U151" i="1"/>
  <c r="U152" i="1"/>
  <c r="W153" i="1"/>
  <c r="AJ157" i="1" l="1"/>
  <c r="X158" i="1"/>
  <c r="AI155" i="1"/>
  <c r="W156" i="1"/>
  <c r="W157" i="1" s="1"/>
  <c r="AQ155" i="1"/>
  <c r="AE156" i="1"/>
  <c r="AE157" i="1" s="1"/>
  <c r="H8" i="2"/>
  <c r="G15" i="2"/>
  <c r="AK102" i="1" s="1"/>
  <c r="AN103" i="1"/>
  <c r="AN124" i="1"/>
  <c r="AN123" i="1"/>
  <c r="AN129" i="1"/>
  <c r="AH157" i="1"/>
  <c r="V158" i="1"/>
  <c r="AM154" i="1"/>
  <c r="AM153" i="1"/>
  <c r="AO150" i="1"/>
  <c r="AO152" i="1"/>
  <c r="AO155" i="1"/>
  <c r="AC156" i="1"/>
  <c r="AC157" i="1" s="1"/>
  <c r="AB159" i="1"/>
  <c r="AN159" i="1" s="1"/>
  <c r="AN158" i="1"/>
  <c r="Z159" i="1"/>
  <c r="AL159" i="1" s="1"/>
  <c r="AL158" i="1"/>
  <c r="AG157" i="1"/>
  <c r="U158" i="1"/>
  <c r="AP158" i="1"/>
  <c r="AD159" i="1"/>
  <c r="AP159" i="1" s="1"/>
  <c r="U159" i="1" l="1"/>
  <c r="AG159" i="1" s="1"/>
  <c r="AG158" i="1"/>
  <c r="AO154" i="1"/>
  <c r="AO153" i="1"/>
  <c r="I8" i="2"/>
  <c r="H15" i="2"/>
  <c r="AL102" i="1" s="1"/>
  <c r="AH158" i="1"/>
  <c r="V159" i="1"/>
  <c r="AH159" i="1" s="1"/>
  <c r="AE158" i="1"/>
  <c r="AQ157" i="1"/>
  <c r="AO157" i="1"/>
  <c r="AC158" i="1"/>
  <c r="AI157" i="1"/>
  <c r="W158" i="1"/>
  <c r="AN150" i="1"/>
  <c r="AN152" i="1"/>
  <c r="AJ158" i="1"/>
  <c r="X159" i="1"/>
  <c r="AJ159" i="1" s="1"/>
  <c r="AQ158" i="1" l="1"/>
  <c r="AE159" i="1"/>
  <c r="AQ159" i="1" s="1"/>
  <c r="AN154" i="1"/>
  <c r="AN153" i="1"/>
  <c r="AI158" i="1"/>
  <c r="W159" i="1"/>
  <c r="AI159" i="1" s="1"/>
  <c r="J8" i="2"/>
  <c r="AC159" i="1"/>
  <c r="AO159" i="1" s="1"/>
  <c r="AO158" i="1"/>
  <c r="K8" i="2" l="1"/>
  <c r="K15" i="2" s="1"/>
  <c r="AO102" i="1" s="1"/>
  <c r="I15" i="2"/>
  <c r="AM102" i="1" s="1"/>
  <c r="J15" i="2" l="1"/>
  <c r="AN102" i="1" s="1"/>
</calcChain>
</file>

<file path=xl/sharedStrings.xml><?xml version="1.0" encoding="utf-8"?>
<sst xmlns="http://schemas.openxmlformats.org/spreadsheetml/2006/main" count="1298" uniqueCount="141">
  <si>
    <t>San Juan Lateral</t>
  </si>
  <si>
    <t>Actual</t>
  </si>
  <si>
    <t>Termination</t>
  </si>
  <si>
    <t>Contract Days</t>
  </si>
  <si>
    <t>Annual Volumes</t>
  </si>
  <si>
    <t>Annual Revenues</t>
  </si>
  <si>
    <t>Shipper</t>
  </si>
  <si>
    <t>Contract #</t>
  </si>
  <si>
    <t>SJ</t>
  </si>
  <si>
    <t>Demand $</t>
  </si>
  <si>
    <t>Date</t>
  </si>
  <si>
    <t>Bayless</t>
  </si>
  <si>
    <t>Conoco*</t>
  </si>
  <si>
    <t>CFS Rate</t>
  </si>
  <si>
    <t>Engage</t>
  </si>
  <si>
    <t>SoCal</t>
  </si>
  <si>
    <t>Burlington</t>
  </si>
  <si>
    <t>Citizens Util</t>
  </si>
  <si>
    <t>Santa Fe/Texaco*</t>
  </si>
  <si>
    <t>Valero</t>
  </si>
  <si>
    <t>Emerald</t>
  </si>
  <si>
    <t>ECT</t>
  </si>
  <si>
    <t>Pacific G&amp;E</t>
  </si>
  <si>
    <t>SMUD</t>
  </si>
  <si>
    <t>Total</t>
  </si>
  <si>
    <t>Duke Energy</t>
  </si>
  <si>
    <t>PG&amp;E Trading</t>
  </si>
  <si>
    <t>KN Marketing</t>
  </si>
  <si>
    <t>UP Fuels</t>
  </si>
  <si>
    <t>North Star Steel</t>
  </si>
  <si>
    <t>USGT</t>
  </si>
  <si>
    <t>Arizona Pub Ser</t>
  </si>
  <si>
    <t>Agave</t>
  </si>
  <si>
    <t>SoCal*</t>
  </si>
  <si>
    <t>Conoco</t>
  </si>
  <si>
    <t>Citizens Util*</t>
  </si>
  <si>
    <t>Pacific G&amp;E*</t>
  </si>
  <si>
    <t>11/1/99 -10/31/00</t>
  </si>
  <si>
    <t>11/1/00 -10/31/01</t>
  </si>
  <si>
    <t>11/1/01 -10/31/02</t>
  </si>
  <si>
    <t>11/1/02 -10/31/03</t>
  </si>
  <si>
    <t>11/1/03 -10/31/04</t>
  </si>
  <si>
    <t>11/1/04 -10/31/05</t>
  </si>
  <si>
    <t>11/1/05 -10/31/06</t>
  </si>
  <si>
    <t>11/1/06 -10/31/07</t>
  </si>
  <si>
    <t>11/1/07 -10/31/08</t>
  </si>
  <si>
    <t>SJ DEMAND RATE</t>
  </si>
  <si>
    <t>Resubscription %</t>
  </si>
  <si>
    <t>Southern</t>
  </si>
  <si>
    <t>Sempra</t>
  </si>
  <si>
    <t>Amoco (BP Energy)</t>
  </si>
  <si>
    <t>Burlington (expired)</t>
  </si>
  <si>
    <t>Bayless (expired)</t>
  </si>
  <si>
    <t>Navajo</t>
  </si>
  <si>
    <t>EP Energy</t>
  </si>
  <si>
    <t>TXU</t>
  </si>
  <si>
    <t>Dynergy</t>
  </si>
  <si>
    <t>Mavrix</t>
  </si>
  <si>
    <t>Reliant Energy</t>
  </si>
  <si>
    <t>Calpine</t>
  </si>
  <si>
    <t>Daily Subscribed Volumes</t>
  </si>
  <si>
    <t>Start</t>
  </si>
  <si>
    <t>Days</t>
  </si>
  <si>
    <t>Pacific G&amp;E (Released)</t>
  </si>
  <si>
    <t>Duke(PG&amp;E Release)</t>
  </si>
  <si>
    <t>EP Energy (PG&amp;E Release)</t>
  </si>
  <si>
    <t>Unsubscribed Volumes</t>
  </si>
  <si>
    <t xml:space="preserve">Reliant </t>
  </si>
  <si>
    <t>SWG</t>
  </si>
  <si>
    <t>OneOk</t>
  </si>
  <si>
    <t>APS</t>
  </si>
  <si>
    <t>EOT to WOT</t>
  </si>
  <si>
    <t>Thoreau to WOT</t>
  </si>
  <si>
    <t>EOT</t>
  </si>
  <si>
    <t>WOT</t>
  </si>
  <si>
    <t>Pacific G&amp;E* (Released)</t>
  </si>
  <si>
    <t>Amoco BP Energy</t>
  </si>
  <si>
    <t>Misc. Contracts</t>
  </si>
  <si>
    <t>Unsubscribed  Volumes</t>
  </si>
  <si>
    <t>Subscribed Volumes</t>
  </si>
  <si>
    <t>PNM (*Season)</t>
  </si>
  <si>
    <t>24198*SC</t>
  </si>
  <si>
    <t>Richardson</t>
  </si>
  <si>
    <t>E.New Mexico</t>
  </si>
  <si>
    <t>KN Processing</t>
  </si>
  <si>
    <t xml:space="preserve">     26490***</t>
  </si>
  <si>
    <t>New Mexico</t>
  </si>
  <si>
    <t>Duke</t>
  </si>
  <si>
    <t>W. TX Gas</t>
  </si>
  <si>
    <t>Astra Power</t>
  </si>
  <si>
    <t>Bass Enterprises</t>
  </si>
  <si>
    <t>ML Exp. East</t>
  </si>
  <si>
    <t>ML East</t>
  </si>
  <si>
    <t>EOT to EOT</t>
  </si>
  <si>
    <t>Emerald Gas</t>
  </si>
  <si>
    <t>Ignacios to Blanco</t>
  </si>
  <si>
    <t>IG</t>
  </si>
  <si>
    <t>Williams</t>
  </si>
  <si>
    <t>PNM</t>
  </si>
  <si>
    <t>SoCal/Pan Alberta</t>
  </si>
  <si>
    <t>Sempra Energy</t>
  </si>
  <si>
    <t>Southern Ute</t>
  </si>
  <si>
    <t>Phillips</t>
  </si>
  <si>
    <t>Red Cedar</t>
  </si>
  <si>
    <t>Texaco Natural</t>
  </si>
  <si>
    <t>BP Energy</t>
  </si>
  <si>
    <t>BP Energy (Amoco)</t>
  </si>
  <si>
    <t>Mercado</t>
  </si>
  <si>
    <t>Path</t>
  </si>
  <si>
    <t>Rate</t>
  </si>
  <si>
    <t>Begin</t>
  </si>
  <si>
    <t>Volume</t>
  </si>
  <si>
    <t>Rate Type</t>
  </si>
  <si>
    <t>Demand</t>
  </si>
  <si>
    <t>Comodity</t>
  </si>
  <si>
    <t>1-part</t>
  </si>
  <si>
    <t>2-part</t>
  </si>
  <si>
    <t>CFS rate</t>
  </si>
  <si>
    <t>Max rate</t>
  </si>
  <si>
    <t>Vol-1-Part</t>
  </si>
  <si>
    <t>Sp Calc -1-part</t>
  </si>
  <si>
    <t>Sp Calc -alt</t>
  </si>
  <si>
    <t>I to I Index</t>
  </si>
  <si>
    <t>Sp Calc</t>
  </si>
  <si>
    <t>Volumetric</t>
  </si>
  <si>
    <t>EOT/EOT DEMAND RATE</t>
  </si>
  <si>
    <t>WOT/WOT DEMAND RATE</t>
  </si>
  <si>
    <t>WOT/ECAL DEMAND RATE</t>
  </si>
  <si>
    <t>Total Revenue for EOT</t>
  </si>
  <si>
    <t>EOT TO EOT</t>
  </si>
  <si>
    <t>EOT TO WOT</t>
  </si>
  <si>
    <t>IG TO EOT</t>
  </si>
  <si>
    <t>SJ TO EOT</t>
  </si>
  <si>
    <t>San Juan</t>
  </si>
  <si>
    <t>IG TO Blanco</t>
  </si>
  <si>
    <t>IG To WOT</t>
  </si>
  <si>
    <t>SJ TO WOT</t>
  </si>
  <si>
    <t>T TO WOT</t>
  </si>
  <si>
    <t>Total Revenue for WOT</t>
  </si>
  <si>
    <t>Total Revenue for SJ</t>
  </si>
  <si>
    <t>Total Revenue for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</si>
</sst>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87" formatCode="0.0000"/>
    <numFmt numFmtId="191" formatCode="_(* #,##0.0000_);_(* \(#,##0.0000\);_(* &quot;-&quot;??_);_(@_)"/>
    <numFmt numFmtId="203" formatCode="mm/dd/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68" fontId="1" fillId="0" borderId="0" xfId="2" applyNumberFormat="1"/>
    <xf numFmtId="0" fontId="0" fillId="0" borderId="0" xfId="0" applyBorder="1" applyAlignment="1">
      <alignment horizontal="center"/>
    </xf>
    <xf numFmtId="0" fontId="0" fillId="0" borderId="1" xfId="0" applyBorder="1"/>
    <xf numFmtId="168" fontId="1" fillId="0" borderId="1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203" fontId="0" fillId="0" borderId="0" xfId="0" applyNumberFormat="1"/>
    <xf numFmtId="170" fontId="1" fillId="0" borderId="0" xfId="1" applyNumberFormat="1"/>
    <xf numFmtId="165" fontId="1" fillId="0" borderId="0" xfId="2" applyNumberFormat="1"/>
    <xf numFmtId="170" fontId="1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44" fontId="1" fillId="0" borderId="0" xfId="2"/>
    <xf numFmtId="168" fontId="1" fillId="2" borderId="0" xfId="2" applyNumberFormat="1" applyFill="1"/>
    <xf numFmtId="168" fontId="1" fillId="0" borderId="0" xfId="2" applyNumberFormat="1" applyFill="1"/>
    <xf numFmtId="9" fontId="0" fillId="0" borderId="0" xfId="0" applyNumberFormat="1"/>
    <xf numFmtId="0" fontId="0" fillId="0" borderId="0" xfId="0" applyAlignment="1">
      <alignment horizontal="center" wrapText="1"/>
    </xf>
    <xf numFmtId="1" fontId="1" fillId="0" borderId="0" xfId="2" applyNumberFormat="1" applyAlignment="1" applyProtection="1">
      <alignment horizontal="center"/>
      <protection locked="0"/>
    </xf>
    <xf numFmtId="168" fontId="0" fillId="0" borderId="0" xfId="0" applyNumberFormat="1"/>
    <xf numFmtId="0" fontId="4" fillId="0" borderId="0" xfId="0" applyFont="1"/>
    <xf numFmtId="168" fontId="1" fillId="0" borderId="0" xfId="2" applyNumberFormat="1" applyFont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203" fontId="1" fillId="0" borderId="0" xfId="2" applyNumberFormat="1"/>
    <xf numFmtId="203" fontId="0" fillId="0" borderId="0" xfId="0" applyNumberFormat="1" applyFill="1"/>
    <xf numFmtId="0" fontId="0" fillId="3" borderId="0" xfId="0" applyFill="1"/>
    <xf numFmtId="170" fontId="0" fillId="0" borderId="0" xfId="0" applyNumberFormat="1"/>
    <xf numFmtId="0" fontId="0" fillId="0" borderId="0" xfId="0" applyFill="1"/>
    <xf numFmtId="168" fontId="1" fillId="3" borderId="0" xfId="2" applyNumberFormat="1" applyFill="1"/>
    <xf numFmtId="0" fontId="1" fillId="0" borderId="0" xfId="1" applyNumberFormat="1"/>
    <xf numFmtId="43" fontId="1" fillId="0" borderId="0" xfId="1"/>
    <xf numFmtId="1" fontId="1" fillId="0" borderId="0" xfId="1" applyNumberFormat="1"/>
    <xf numFmtId="1" fontId="1" fillId="0" borderId="0" xfId="1" quotePrefix="1" applyNumberFormat="1" applyFont="1"/>
    <xf numFmtId="203" fontId="1" fillId="0" borderId="0" xfId="2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0" fillId="0" borderId="3" xfId="0" applyBorder="1"/>
    <xf numFmtId="168" fontId="1" fillId="0" borderId="3" xfId="2" applyNumberFormat="1" applyFont="1" applyBorder="1" applyAlignment="1">
      <alignment horizontal="center"/>
    </xf>
    <xf numFmtId="168" fontId="1" fillId="0" borderId="3" xfId="2" applyNumberFormat="1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203" fontId="1" fillId="0" borderId="0" xfId="2" applyNumberFormat="1" applyAlignment="1">
      <alignment horizontal="center"/>
    </xf>
    <xf numFmtId="203" fontId="0" fillId="0" borderId="0" xfId="0" applyNumberFormat="1" applyAlignment="1">
      <alignment horizontal="center"/>
    </xf>
    <xf numFmtId="168" fontId="1" fillId="0" borderId="0" xfId="2" applyNumberFormat="1" applyAlignment="1">
      <alignment horizontal="center"/>
    </xf>
    <xf numFmtId="203" fontId="1" fillId="0" borderId="0" xfId="2" applyNumberFormat="1" applyFont="1" applyAlignment="1">
      <alignment horizontal="center"/>
    </xf>
    <xf numFmtId="168" fontId="3" fillId="0" borderId="0" xfId="2" applyNumberFormat="1" applyFont="1" applyFill="1" applyBorder="1" applyAlignment="1">
      <alignment horizontal="right"/>
    </xf>
    <xf numFmtId="168" fontId="0" fillId="0" borderId="3" xfId="2" applyNumberFormat="1" applyFont="1" applyBorder="1" applyAlignment="1">
      <alignment horizontal="right"/>
    </xf>
    <xf numFmtId="168" fontId="0" fillId="0" borderId="0" xfId="2" applyNumberFormat="1" applyFont="1" applyAlignment="1">
      <alignment horizontal="right"/>
    </xf>
    <xf numFmtId="168" fontId="5" fillId="0" borderId="0" xfId="2" applyNumberFormat="1" applyFont="1" applyFill="1" applyBorder="1" applyAlignment="1">
      <alignment horizontal="right"/>
    </xf>
    <xf numFmtId="168" fontId="3" fillId="0" borderId="0" xfId="2" applyNumberFormat="1" applyFont="1" applyFill="1" applyAlignment="1">
      <alignment horizontal="right"/>
    </xf>
    <xf numFmtId="168" fontId="3" fillId="0" borderId="0" xfId="2" applyNumberFormat="1" applyFont="1"/>
    <xf numFmtId="168" fontId="0" fillId="0" borderId="0" xfId="2" applyNumberFormat="1" applyFont="1"/>
    <xf numFmtId="170" fontId="0" fillId="0" borderId="3" xfId="1" applyNumberFormat="1" applyFont="1" applyBorder="1" applyAlignment="1">
      <alignment horizontal="right"/>
    </xf>
    <xf numFmtId="170" fontId="0" fillId="0" borderId="0" xfId="1" applyNumberFormat="1" applyFont="1" applyAlignment="1">
      <alignment horizontal="right"/>
    </xf>
    <xf numFmtId="170" fontId="3" fillId="0" borderId="0" xfId="1" applyNumberFormat="1" applyFont="1" applyFill="1" applyBorder="1" applyAlignment="1">
      <alignment horizontal="right"/>
    </xf>
    <xf numFmtId="170" fontId="5" fillId="0" borderId="0" xfId="1" applyNumberFormat="1" applyFont="1" applyFill="1" applyBorder="1" applyAlignment="1">
      <alignment horizontal="right"/>
    </xf>
    <xf numFmtId="170" fontId="3" fillId="0" borderId="0" xfId="1" applyNumberFormat="1" applyFont="1" applyFill="1" applyAlignment="1">
      <alignment horizontal="right"/>
    </xf>
    <xf numFmtId="168" fontId="6" fillId="0" borderId="0" xfId="2" applyNumberFormat="1" applyFont="1" applyAlignment="1">
      <alignment horizontal="right"/>
    </xf>
    <xf numFmtId="0" fontId="2" fillId="3" borderId="0" xfId="0" applyFont="1" applyFill="1"/>
    <xf numFmtId="187" fontId="0" fillId="0" borderId="0" xfId="0" applyNumberFormat="1"/>
    <xf numFmtId="0" fontId="3" fillId="0" borderId="1" xfId="0" applyFont="1" applyBorder="1"/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03" fontId="1" fillId="0" borderId="1" xfId="2" applyNumberFormat="1" applyBorder="1"/>
    <xf numFmtId="14" fontId="5" fillId="0" borderId="1" xfId="0" applyNumberFormat="1" applyFont="1" applyFill="1" applyBorder="1" applyAlignment="1">
      <alignment horizontal="center"/>
    </xf>
    <xf numFmtId="203" fontId="0" fillId="0" borderId="1" xfId="0" applyNumberFormat="1" applyBorder="1"/>
    <xf numFmtId="1" fontId="0" fillId="0" borderId="1" xfId="0" applyNumberFormat="1" applyBorder="1"/>
    <xf numFmtId="170" fontId="1" fillId="0" borderId="1" xfId="1" applyNumberFormat="1" applyBorder="1"/>
    <xf numFmtId="0" fontId="0" fillId="0" borderId="1" xfId="0" applyNumberFormat="1" applyBorder="1"/>
    <xf numFmtId="165" fontId="1" fillId="0" borderId="1" xfId="2" applyNumberFormat="1" applyBorder="1"/>
    <xf numFmtId="170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168" fontId="0" fillId="2" borderId="0" xfId="2" applyNumberFormat="1" applyFont="1" applyFill="1"/>
    <xf numFmtId="168" fontId="0" fillId="0" borderId="0" xfId="2" applyNumberFormat="1" applyFont="1" applyFill="1"/>
    <xf numFmtId="165" fontId="0" fillId="0" borderId="0" xfId="2" applyNumberFormat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/>
    <xf numFmtId="0" fontId="2" fillId="7" borderId="0" xfId="0" applyFont="1" applyFill="1"/>
    <xf numFmtId="0" fontId="3" fillId="10" borderId="0" xfId="0" applyFont="1" applyFill="1" applyAlignment="1">
      <alignment horizontal="center"/>
    </xf>
    <xf numFmtId="170" fontId="0" fillId="0" borderId="0" xfId="1" applyNumberFormat="1" applyFont="1" applyFill="1" applyAlignment="1">
      <alignment horizontal="right"/>
    </xf>
    <xf numFmtId="168" fontId="0" fillId="0" borderId="0" xfId="2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10" borderId="0" xfId="0" applyFont="1" applyFill="1"/>
    <xf numFmtId="0" fontId="0" fillId="11" borderId="0" xfId="0" applyFill="1" applyAlignment="1">
      <alignment horizontal="center"/>
    </xf>
    <xf numFmtId="0" fontId="2" fillId="11" borderId="0" xfId="0" applyFont="1" applyFill="1"/>
    <xf numFmtId="170" fontId="1" fillId="0" borderId="0" xfId="1" applyNumberFormat="1" applyAlignment="1">
      <alignment horizontal="right"/>
    </xf>
    <xf numFmtId="168" fontId="1" fillId="0" borderId="0" xfId="2" applyNumberFormat="1" applyAlignment="1">
      <alignment horizontal="right"/>
    </xf>
    <xf numFmtId="170" fontId="1" fillId="0" borderId="3" xfId="1" applyNumberFormat="1" applyBorder="1" applyAlignment="1">
      <alignment horizontal="right"/>
    </xf>
    <xf numFmtId="168" fontId="1" fillId="0" borderId="3" xfId="2" applyNumberFormat="1" applyBorder="1" applyAlignment="1">
      <alignment horizontal="right"/>
    </xf>
    <xf numFmtId="168" fontId="1" fillId="0" borderId="0" xfId="2" applyNumberFormat="1" applyFont="1" applyAlignment="1">
      <alignment horizontal="right"/>
    </xf>
    <xf numFmtId="191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8" sqref="A8"/>
    </sheetView>
  </sheetViews>
  <sheetFormatPr defaultRowHeight="12.75" x14ac:dyDescent="0.2"/>
  <cols>
    <col min="1" max="1" width="18.42578125" customWidth="1"/>
    <col min="3" max="3" width="9.7109375" customWidth="1"/>
    <col min="4" max="10" width="8.7109375" customWidth="1"/>
  </cols>
  <sheetData>
    <row r="3" spans="1:11" ht="25.5" x14ac:dyDescent="0.2">
      <c r="C3" s="21" t="s">
        <v>37</v>
      </c>
      <c r="D3" s="21" t="s">
        <v>38</v>
      </c>
      <c r="E3" s="21" t="s">
        <v>39</v>
      </c>
      <c r="F3" s="21" t="s">
        <v>40</v>
      </c>
      <c r="G3" s="21" t="s">
        <v>41</v>
      </c>
      <c r="H3" s="21" t="s">
        <v>42</v>
      </c>
      <c r="I3" s="21" t="s">
        <v>43</v>
      </c>
      <c r="J3" s="21" t="s">
        <v>44</v>
      </c>
      <c r="K3" s="21" t="s">
        <v>45</v>
      </c>
    </row>
    <row r="4" spans="1:11" x14ac:dyDescent="0.2"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">
      <c r="A5" t="s">
        <v>46</v>
      </c>
      <c r="C5" s="2">
        <v>0.1031</v>
      </c>
      <c r="D5" s="2">
        <v>0.1052</v>
      </c>
      <c r="E5" s="2">
        <v>0.1074</v>
      </c>
      <c r="F5" s="2">
        <v>0.1096</v>
      </c>
      <c r="G5" s="2">
        <v>0.1118</v>
      </c>
      <c r="H5" s="2">
        <v>0.11409999999999999</v>
      </c>
      <c r="I5" s="2">
        <v>0.1164</v>
      </c>
      <c r="J5" s="2">
        <v>0.1188</v>
      </c>
      <c r="K5" s="2">
        <v>0.1212</v>
      </c>
    </row>
    <row r="6" spans="1:11" x14ac:dyDescent="0.2">
      <c r="A6" t="s">
        <v>125</v>
      </c>
      <c r="C6" s="2">
        <v>0.1031</v>
      </c>
      <c r="D6" s="2">
        <v>0.1052</v>
      </c>
      <c r="E6" s="2">
        <v>0.1074</v>
      </c>
      <c r="F6" s="2">
        <v>0.1096</v>
      </c>
      <c r="G6" s="2">
        <v>0.1118</v>
      </c>
      <c r="H6" s="2">
        <v>0.11409999999999999</v>
      </c>
      <c r="I6" s="2">
        <v>0.1164</v>
      </c>
      <c r="J6" s="2">
        <v>0.1188</v>
      </c>
      <c r="K6" s="2">
        <v>0.1212</v>
      </c>
    </row>
    <row r="7" spans="1:11" x14ac:dyDescent="0.2">
      <c r="A7" t="s">
        <v>126</v>
      </c>
      <c r="C7" s="2">
        <v>0.25530000000000003</v>
      </c>
      <c r="D7" s="2">
        <v>0.26390000000000002</v>
      </c>
      <c r="E7" s="2">
        <f>+D7*1.02</f>
        <v>0.26917800000000003</v>
      </c>
      <c r="F7" s="2">
        <f t="shared" ref="F7:K7" si="0">+E7*1.02</f>
        <v>0.27456156000000004</v>
      </c>
      <c r="G7" s="2">
        <f t="shared" si="0"/>
        <v>0.28005279120000004</v>
      </c>
      <c r="H7" s="2">
        <f t="shared" si="0"/>
        <v>0.28565384702400004</v>
      </c>
      <c r="I7" s="2">
        <f t="shared" si="0"/>
        <v>0.29136692396448005</v>
      </c>
      <c r="J7" s="2">
        <f t="shared" si="0"/>
        <v>0.29719426244376967</v>
      </c>
      <c r="K7" s="2">
        <f t="shared" si="0"/>
        <v>0.30313814769264508</v>
      </c>
    </row>
    <row r="8" spans="1:11" x14ac:dyDescent="0.2">
      <c r="A8" t="s">
        <v>127</v>
      </c>
      <c r="C8" s="2">
        <v>0.22739999999999999</v>
      </c>
      <c r="D8" s="2">
        <f>+C8*1.02</f>
        <v>0.23194799999999999</v>
      </c>
      <c r="E8" s="2">
        <f>+D8*1.02</f>
        <v>0.23658695999999999</v>
      </c>
      <c r="F8" s="2">
        <f t="shared" ref="F8:K8" si="1">+E8*1.02</f>
        <v>0.24131869919999999</v>
      </c>
      <c r="G8" s="2">
        <f t="shared" si="1"/>
        <v>0.246145073184</v>
      </c>
      <c r="H8" s="2">
        <f t="shared" si="1"/>
        <v>0.25106797464767999</v>
      </c>
      <c r="I8" s="2">
        <f t="shared" si="1"/>
        <v>0.25608933414063362</v>
      </c>
      <c r="J8" s="2">
        <f t="shared" si="1"/>
        <v>0.26121112082344627</v>
      </c>
      <c r="K8" s="2">
        <f t="shared" si="1"/>
        <v>0.26643534323991519</v>
      </c>
    </row>
    <row r="9" spans="1:11" x14ac:dyDescent="0.2"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C11" s="22">
        <v>2000</v>
      </c>
      <c r="D11" s="22">
        <v>2001</v>
      </c>
      <c r="E11" s="22">
        <v>2002</v>
      </c>
      <c r="F11" s="22">
        <v>2003</v>
      </c>
      <c r="G11" s="22">
        <v>2004</v>
      </c>
      <c r="H11" s="22">
        <v>2005</v>
      </c>
      <c r="I11" s="22">
        <v>2006</v>
      </c>
      <c r="J11" s="22">
        <v>2007</v>
      </c>
      <c r="K11" s="22">
        <v>2008</v>
      </c>
    </row>
    <row r="12" spans="1:11" x14ac:dyDescent="0.2">
      <c r="A12" t="s">
        <v>46</v>
      </c>
      <c r="C12" s="2">
        <f>((305*C5)+(D5*61))/366</f>
        <v>0.10344999999999999</v>
      </c>
      <c r="D12" s="2">
        <f t="shared" ref="D12:F15" si="2">((304*D5)+(E5*61))/365</f>
        <v>0.10556767123287672</v>
      </c>
      <c r="E12" s="2">
        <f t="shared" si="2"/>
        <v>0.10776767123287671</v>
      </c>
      <c r="F12" s="2">
        <f t="shared" si="2"/>
        <v>0.10996767123287672</v>
      </c>
      <c r="G12" s="2">
        <f>((305*G5)+(H5*61))/366</f>
        <v>0.11218333333333332</v>
      </c>
      <c r="H12" s="2">
        <f t="shared" ref="H12:J15" si="3">((304*H5)+(I5*61))/365</f>
        <v>0.11448438356164384</v>
      </c>
      <c r="I12" s="2">
        <f t="shared" si="3"/>
        <v>0.11680109589041097</v>
      </c>
      <c r="J12" s="2">
        <f t="shared" si="3"/>
        <v>0.11920109589041096</v>
      </c>
      <c r="K12" s="23">
        <f>+K5</f>
        <v>0.1212</v>
      </c>
    </row>
    <row r="13" spans="1:11" x14ac:dyDescent="0.2">
      <c r="A13" t="s">
        <v>125</v>
      </c>
      <c r="C13" s="2">
        <f>((305*C6)+(D6*61))/366</f>
        <v>0.10344999999999999</v>
      </c>
      <c r="D13" s="2">
        <f t="shared" si="2"/>
        <v>0.10556767123287672</v>
      </c>
      <c r="E13" s="2">
        <f t="shared" si="2"/>
        <v>0.10776767123287671</v>
      </c>
      <c r="F13" s="2">
        <f t="shared" si="2"/>
        <v>0.10996767123287672</v>
      </c>
      <c r="G13" s="2">
        <f>((305*G6)+(H6*61))/366</f>
        <v>0.11218333333333332</v>
      </c>
      <c r="H13" s="2">
        <f t="shared" si="3"/>
        <v>0.11448438356164384</v>
      </c>
      <c r="I13" s="2">
        <f t="shared" si="3"/>
        <v>0.11680109589041097</v>
      </c>
      <c r="J13" s="2">
        <f t="shared" si="3"/>
        <v>0.11920109589041096</v>
      </c>
      <c r="K13" s="23">
        <f>+K6</f>
        <v>0.1212</v>
      </c>
    </row>
    <row r="14" spans="1:11" x14ac:dyDescent="0.2">
      <c r="A14" t="s">
        <v>126</v>
      </c>
      <c r="C14" s="2">
        <f>((305*C7)+(D7*61))/366</f>
        <v>0.25673333333333337</v>
      </c>
      <c r="D14" s="2">
        <f t="shared" si="2"/>
        <v>0.26478207671232884</v>
      </c>
      <c r="E14" s="2">
        <f t="shared" si="2"/>
        <v>0.27007771824657539</v>
      </c>
      <c r="F14" s="2">
        <f t="shared" si="2"/>
        <v>0.2754792726115069</v>
      </c>
      <c r="G14" s="2">
        <f>((305*G7)+(H7*61))/366</f>
        <v>0.28098630050400003</v>
      </c>
      <c r="H14" s="2">
        <f t="shared" si="3"/>
        <v>0.28660863522501173</v>
      </c>
      <c r="I14" s="2">
        <f t="shared" si="3"/>
        <v>0.292340807929512</v>
      </c>
      <c r="J14" s="2">
        <f t="shared" si="3"/>
        <v>0.29818762408810229</v>
      </c>
      <c r="K14" s="23">
        <f>+K7</f>
        <v>0.30313814769264508</v>
      </c>
    </row>
    <row r="15" spans="1:11" x14ac:dyDescent="0.2">
      <c r="A15" t="s">
        <v>127</v>
      </c>
      <c r="C15" s="2">
        <f>((305*C8)+(D8*61))/366</f>
        <v>0.22815799999999997</v>
      </c>
      <c r="D15" s="2">
        <f t="shared" si="2"/>
        <v>0.23272327824657535</v>
      </c>
      <c r="E15" s="2">
        <f t="shared" si="2"/>
        <v>0.23737774381150681</v>
      </c>
      <c r="F15" s="2">
        <f t="shared" si="2"/>
        <v>0.242125298687737</v>
      </c>
      <c r="G15" s="2">
        <f>((305*G8)+(H8*61))/366</f>
        <v>0.24696555676127999</v>
      </c>
      <c r="H15" s="2">
        <f t="shared" si="3"/>
        <v>0.25190716075472158</v>
      </c>
      <c r="I15" s="2">
        <f t="shared" si="3"/>
        <v>0.25694530396981602</v>
      </c>
      <c r="J15" s="2">
        <f t="shared" si="3"/>
        <v>0.26208421004921234</v>
      </c>
      <c r="K15" s="23">
        <f>+K8</f>
        <v>0.26643534323991519</v>
      </c>
    </row>
    <row r="16" spans="1:11" x14ac:dyDescent="0.2">
      <c r="C16" s="2"/>
      <c r="D16" s="2"/>
      <c r="E16" s="2"/>
      <c r="F16" s="2"/>
      <c r="G16" s="2"/>
      <c r="H16" s="2"/>
      <c r="I16" s="2"/>
      <c r="J16" s="2"/>
      <c r="K16" s="23"/>
    </row>
    <row r="18" spans="3:11" x14ac:dyDescent="0.2">
      <c r="C18" s="81"/>
      <c r="D18" s="2"/>
      <c r="E18" s="2"/>
      <c r="F18" s="2"/>
      <c r="G18" s="2"/>
      <c r="H18" s="2"/>
      <c r="I18" s="2"/>
      <c r="J18" s="2"/>
      <c r="K18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3"/>
  <sheetViews>
    <sheetView topLeftCell="G81" zoomScale="75" workbookViewId="0">
      <selection activeCell="H95" sqref="H95:R140"/>
    </sheetView>
  </sheetViews>
  <sheetFormatPr defaultRowHeight="12.75" x14ac:dyDescent="0.2"/>
  <cols>
    <col min="1" max="1" width="20.28515625" bestFit="1" customWidth="1"/>
    <col min="2" max="2" width="24.140625" customWidth="1"/>
    <col min="5" max="7" width="10.5703125" customWidth="1"/>
    <col min="8" max="8" width="12.42578125" customWidth="1"/>
    <col min="9" max="9" width="14.42578125" bestFit="1" customWidth="1"/>
    <col min="14" max="14" width="10.140625" bestFit="1" customWidth="1"/>
    <col min="16" max="16" width="10.140625" bestFit="1" customWidth="1"/>
    <col min="20" max="20" width="12.28515625" bestFit="1" customWidth="1"/>
    <col min="21" max="21" width="16.42578125" customWidth="1"/>
    <col min="22" max="31" width="13.85546875" customWidth="1"/>
    <col min="33" max="33" width="15" customWidth="1"/>
    <col min="34" max="40" width="14.85546875" customWidth="1"/>
    <col min="41" max="41" width="13.85546875" customWidth="1"/>
    <col min="42" max="43" width="13.85546875" bestFit="1" customWidth="1"/>
  </cols>
  <sheetData>
    <row r="1" spans="1:43" x14ac:dyDescent="0.2">
      <c r="B1" s="1" t="s">
        <v>0</v>
      </c>
      <c r="H1">
        <v>366</v>
      </c>
      <c r="I1">
        <v>365</v>
      </c>
      <c r="J1">
        <v>365</v>
      </c>
      <c r="K1">
        <v>365</v>
      </c>
      <c r="L1">
        <v>366</v>
      </c>
      <c r="M1">
        <v>365</v>
      </c>
      <c r="N1">
        <v>365</v>
      </c>
      <c r="O1">
        <v>365</v>
      </c>
      <c r="P1">
        <v>366</v>
      </c>
      <c r="Q1">
        <v>365</v>
      </c>
      <c r="R1">
        <v>365</v>
      </c>
    </row>
    <row r="2" spans="1:43" x14ac:dyDescent="0.2">
      <c r="E2" s="2" t="s">
        <v>1</v>
      </c>
      <c r="F2" s="25" t="s">
        <v>61</v>
      </c>
      <c r="G2" s="3" t="s">
        <v>2</v>
      </c>
      <c r="H2" s="127" t="s">
        <v>3</v>
      </c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3"/>
      <c r="T2" s="16" t="s">
        <v>24</v>
      </c>
      <c r="U2" s="130" t="s">
        <v>4</v>
      </c>
      <c r="V2" s="131"/>
      <c r="W2" s="131"/>
      <c r="X2" s="131"/>
      <c r="Y2" s="131"/>
      <c r="Z2" s="131"/>
      <c r="AA2" s="131"/>
      <c r="AB2" s="131"/>
      <c r="AC2" s="131"/>
      <c r="AD2" s="131"/>
      <c r="AE2" s="132"/>
      <c r="AG2" s="130" t="s">
        <v>5</v>
      </c>
      <c r="AH2" s="131"/>
      <c r="AI2" s="131"/>
      <c r="AJ2" s="131"/>
      <c r="AK2" s="131"/>
      <c r="AL2" s="131"/>
      <c r="AM2" s="131"/>
      <c r="AN2" s="131"/>
      <c r="AO2" s="131"/>
      <c r="AP2" s="131"/>
      <c r="AQ2" s="132"/>
    </row>
    <row r="3" spans="1:43" ht="13.5" thickBot="1" x14ac:dyDescent="0.25">
      <c r="A3" s="4" t="s">
        <v>108</v>
      </c>
      <c r="B3" s="4" t="s">
        <v>6</v>
      </c>
      <c r="C3" s="4" t="s">
        <v>7</v>
      </c>
      <c r="D3" s="6" t="s">
        <v>8</v>
      </c>
      <c r="E3" s="5" t="s">
        <v>9</v>
      </c>
      <c r="F3" s="26" t="s">
        <v>10</v>
      </c>
      <c r="G3" s="6" t="s">
        <v>10</v>
      </c>
      <c r="H3" s="6">
        <v>2000</v>
      </c>
      <c r="I3" s="6">
        <v>2001</v>
      </c>
      <c r="J3" s="6">
        <v>2002</v>
      </c>
      <c r="K3" s="6">
        <v>2003</v>
      </c>
      <c r="L3" s="6">
        <v>2004</v>
      </c>
      <c r="M3" s="6">
        <v>2005</v>
      </c>
      <c r="N3" s="6">
        <v>2006</v>
      </c>
      <c r="O3" s="6">
        <v>2007</v>
      </c>
      <c r="P3" s="6">
        <v>2008</v>
      </c>
      <c r="Q3" s="6">
        <v>2009</v>
      </c>
      <c r="R3" s="6">
        <v>2010</v>
      </c>
      <c r="S3" s="3"/>
      <c r="T3" s="16" t="s">
        <v>62</v>
      </c>
      <c r="U3" s="7">
        <v>2000</v>
      </c>
      <c r="V3" s="8">
        <v>2001</v>
      </c>
      <c r="W3" s="8">
        <v>2002</v>
      </c>
      <c r="X3" s="8">
        <v>2003</v>
      </c>
      <c r="Y3" s="8">
        <v>2004</v>
      </c>
      <c r="Z3" s="8">
        <v>2005</v>
      </c>
      <c r="AA3" s="8">
        <v>2006</v>
      </c>
      <c r="AB3" s="8">
        <v>2007</v>
      </c>
      <c r="AC3" s="8">
        <v>2008</v>
      </c>
      <c r="AD3" s="8">
        <v>2009</v>
      </c>
      <c r="AE3" s="9">
        <v>2010</v>
      </c>
      <c r="AG3" s="7">
        <v>2000</v>
      </c>
      <c r="AH3" s="8">
        <v>2001</v>
      </c>
      <c r="AI3" s="8">
        <v>2002</v>
      </c>
      <c r="AJ3" s="8">
        <v>2003</v>
      </c>
      <c r="AK3" s="8">
        <v>2004</v>
      </c>
      <c r="AL3" s="8">
        <v>2005</v>
      </c>
      <c r="AM3" s="8">
        <v>2006</v>
      </c>
      <c r="AN3" s="8">
        <v>2007</v>
      </c>
      <c r="AO3" s="8">
        <v>2008</v>
      </c>
      <c r="AP3" s="8">
        <v>2009</v>
      </c>
      <c r="AQ3" s="9">
        <v>2010</v>
      </c>
    </row>
    <row r="4" spans="1:43" x14ac:dyDescent="0.2">
      <c r="A4" s="1" t="s">
        <v>93</v>
      </c>
      <c r="B4" s="42" t="s">
        <v>32</v>
      </c>
      <c r="C4" s="39">
        <v>27377</v>
      </c>
      <c r="D4" s="44">
        <v>10000</v>
      </c>
      <c r="E4" s="10"/>
      <c r="F4" s="46">
        <v>36951</v>
      </c>
      <c r="G4" s="46">
        <v>37315</v>
      </c>
      <c r="H4" s="12">
        <v>0</v>
      </c>
      <c r="I4" s="12">
        <f>"1/01/02"-F4</f>
        <v>306</v>
      </c>
      <c r="J4" s="12">
        <f>+G4-"12/31/01"</f>
        <v>59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U4" s="12">
        <f t="shared" ref="U4:AE7" si="0">+H4*$D4</f>
        <v>0</v>
      </c>
      <c r="V4" s="12">
        <f t="shared" si="0"/>
        <v>3060000</v>
      </c>
      <c r="W4" s="12">
        <f t="shared" si="0"/>
        <v>590000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</row>
    <row r="5" spans="1:43" x14ac:dyDescent="0.2">
      <c r="A5" s="1" t="s">
        <v>93</v>
      </c>
      <c r="B5" s="42" t="s">
        <v>32</v>
      </c>
      <c r="C5" s="39" t="s">
        <v>85</v>
      </c>
      <c r="D5" s="44">
        <v>40000</v>
      </c>
      <c r="E5" s="10"/>
      <c r="F5" s="46">
        <v>36100</v>
      </c>
      <c r="G5" s="46">
        <v>37925</v>
      </c>
      <c r="H5" s="12">
        <v>366</v>
      </c>
      <c r="I5" s="12">
        <v>365</v>
      </c>
      <c r="J5" s="12">
        <v>365</v>
      </c>
      <c r="K5" s="12">
        <f>+G5-"12/31/02"</f>
        <v>304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U5" s="12">
        <f t="shared" si="0"/>
        <v>14640000</v>
      </c>
      <c r="V5" s="12">
        <f t="shared" si="0"/>
        <v>14600000</v>
      </c>
      <c r="W5" s="12">
        <f t="shared" si="0"/>
        <v>14600000</v>
      </c>
      <c r="X5" s="12">
        <f t="shared" si="0"/>
        <v>12160000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</row>
    <row r="6" spans="1:43" x14ac:dyDescent="0.2">
      <c r="A6" s="1" t="s">
        <v>93</v>
      </c>
      <c r="B6" s="42" t="s">
        <v>89</v>
      </c>
      <c r="C6" s="39">
        <v>27495</v>
      </c>
      <c r="D6" s="44">
        <v>50000</v>
      </c>
      <c r="E6" s="10"/>
      <c r="F6" s="46">
        <v>36951</v>
      </c>
      <c r="G6" s="46">
        <v>37711</v>
      </c>
      <c r="H6" s="12">
        <v>0</v>
      </c>
      <c r="I6" s="12">
        <f>"1/01/02"-F6</f>
        <v>306</v>
      </c>
      <c r="J6" s="12">
        <v>365</v>
      </c>
      <c r="K6" s="12">
        <f>+G6-"12/31/02"</f>
        <v>90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U6" s="12">
        <f t="shared" si="0"/>
        <v>0</v>
      </c>
      <c r="V6" s="12">
        <f t="shared" si="0"/>
        <v>15300000</v>
      </c>
      <c r="W6" s="12">
        <f t="shared" si="0"/>
        <v>18250000</v>
      </c>
      <c r="X6" s="12">
        <f t="shared" si="0"/>
        <v>4500000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</row>
    <row r="7" spans="1:43" x14ac:dyDescent="0.2">
      <c r="A7" s="1" t="s">
        <v>93</v>
      </c>
      <c r="B7" s="42" t="s">
        <v>90</v>
      </c>
      <c r="C7" s="39">
        <v>27600</v>
      </c>
      <c r="D7" s="44">
        <v>2500</v>
      </c>
      <c r="E7" s="10"/>
      <c r="F7" s="46">
        <v>37043</v>
      </c>
      <c r="G7" s="46">
        <v>37407</v>
      </c>
      <c r="H7" s="12">
        <v>0</v>
      </c>
      <c r="I7" s="12">
        <f>"1/01/02"-F7</f>
        <v>214</v>
      </c>
      <c r="J7" s="12">
        <f>+G7-"12/31/01"</f>
        <v>151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U7" s="12">
        <f t="shared" si="0"/>
        <v>0</v>
      </c>
      <c r="V7" s="12">
        <f t="shared" si="0"/>
        <v>535000</v>
      </c>
      <c r="W7" s="12">
        <f t="shared" si="0"/>
        <v>377500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</row>
    <row r="8" spans="1:43" x14ac:dyDescent="0.2">
      <c r="A8" s="1" t="s">
        <v>93</v>
      </c>
      <c r="B8" s="42" t="s">
        <v>16</v>
      </c>
      <c r="C8" s="39">
        <v>25025</v>
      </c>
      <c r="D8" s="44">
        <v>80000</v>
      </c>
      <c r="G8" s="46">
        <v>39051</v>
      </c>
      <c r="H8" s="12">
        <v>366</v>
      </c>
      <c r="I8">
        <v>365</v>
      </c>
      <c r="J8">
        <v>365</v>
      </c>
      <c r="K8">
        <v>365</v>
      </c>
      <c r="L8">
        <v>366</v>
      </c>
      <c r="M8">
        <v>365</v>
      </c>
      <c r="N8" s="47">
        <f>+G8-"12/31/05"</f>
        <v>334</v>
      </c>
      <c r="U8" s="12">
        <f t="shared" ref="U8:U18" si="1">+H8*$D8</f>
        <v>29280000</v>
      </c>
    </row>
    <row r="9" spans="1:43" x14ac:dyDescent="0.2">
      <c r="A9" s="1" t="s">
        <v>93</v>
      </c>
      <c r="B9" s="41" t="s">
        <v>16</v>
      </c>
      <c r="C9" s="39">
        <v>25031</v>
      </c>
      <c r="D9" s="44">
        <v>0</v>
      </c>
      <c r="E9" s="10"/>
      <c r="F9" s="46">
        <v>35400</v>
      </c>
      <c r="G9" s="46">
        <v>39051</v>
      </c>
      <c r="H9" s="12">
        <v>366</v>
      </c>
      <c r="I9" s="12">
        <v>365</v>
      </c>
      <c r="J9" s="12">
        <v>365</v>
      </c>
      <c r="K9" s="12">
        <v>365</v>
      </c>
      <c r="L9" s="12">
        <v>366</v>
      </c>
      <c r="M9" s="12">
        <v>365</v>
      </c>
      <c r="N9" s="12">
        <f>+G9-"12/31/05"</f>
        <v>334</v>
      </c>
      <c r="O9" s="12">
        <v>0</v>
      </c>
      <c r="P9" s="12">
        <v>0</v>
      </c>
      <c r="Q9" s="12">
        <v>0</v>
      </c>
      <c r="R9" s="12">
        <v>0</v>
      </c>
      <c r="S9" s="13"/>
      <c r="T9" s="17"/>
      <c r="U9" s="12">
        <f t="shared" si="1"/>
        <v>0</v>
      </c>
      <c r="V9" s="12">
        <f t="shared" ref="V9:AE13" si="2">+I9*$D9</f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</row>
    <row r="10" spans="1:43" x14ac:dyDescent="0.2">
      <c r="A10" s="1" t="s">
        <v>93</v>
      </c>
      <c r="B10" s="41" t="s">
        <v>87</v>
      </c>
      <c r="C10" s="39">
        <v>27291</v>
      </c>
      <c r="D10" s="44">
        <v>20000</v>
      </c>
      <c r="E10" s="10"/>
      <c r="F10" s="46">
        <v>36739</v>
      </c>
      <c r="G10" s="46">
        <v>37468</v>
      </c>
      <c r="H10" s="12">
        <f>"1/01/01"-F10</f>
        <v>153</v>
      </c>
      <c r="I10" s="12">
        <v>365</v>
      </c>
      <c r="J10" s="12">
        <f>+G10-"12/31/01"</f>
        <v>212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U10" s="12">
        <f t="shared" si="1"/>
        <v>3060000</v>
      </c>
      <c r="V10" s="12">
        <f t="shared" si="2"/>
        <v>7300000</v>
      </c>
      <c r="W10" s="12">
        <f t="shared" si="2"/>
        <v>4240000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</row>
    <row r="11" spans="1:43" x14ac:dyDescent="0.2">
      <c r="A11" s="1" t="s">
        <v>93</v>
      </c>
      <c r="B11" s="42" t="s">
        <v>25</v>
      </c>
      <c r="C11" s="39">
        <v>27349</v>
      </c>
      <c r="D11" s="44">
        <v>20000</v>
      </c>
      <c r="E11" s="10"/>
      <c r="F11" s="46">
        <v>36892</v>
      </c>
      <c r="G11" s="46">
        <v>38717</v>
      </c>
      <c r="H11" s="12">
        <v>0</v>
      </c>
      <c r="I11" s="12">
        <v>365</v>
      </c>
      <c r="J11" s="12">
        <v>365</v>
      </c>
      <c r="K11" s="12">
        <v>365</v>
      </c>
      <c r="L11" s="12">
        <v>366</v>
      </c>
      <c r="M11" s="12">
        <f>+G11-"12/31/04"</f>
        <v>365</v>
      </c>
      <c r="N11" s="12">
        <f>+G11-"12/31/05"</f>
        <v>0</v>
      </c>
      <c r="O11" s="12">
        <v>0</v>
      </c>
      <c r="P11" s="12">
        <v>0</v>
      </c>
      <c r="Q11" s="12">
        <v>0</v>
      </c>
      <c r="R11" s="12">
        <v>0</v>
      </c>
      <c r="U11" s="12">
        <f t="shared" si="1"/>
        <v>0</v>
      </c>
      <c r="V11" s="12">
        <f t="shared" si="2"/>
        <v>7300000</v>
      </c>
      <c r="W11" s="12">
        <f t="shared" si="2"/>
        <v>7300000</v>
      </c>
      <c r="X11" s="12">
        <f t="shared" si="2"/>
        <v>7300000</v>
      </c>
      <c r="Y11" s="12">
        <f t="shared" si="2"/>
        <v>7320000</v>
      </c>
      <c r="Z11" s="12">
        <f t="shared" si="2"/>
        <v>7300000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</row>
    <row r="12" spans="1:43" x14ac:dyDescent="0.2">
      <c r="A12" s="1" t="s">
        <v>93</v>
      </c>
      <c r="B12" s="42" t="s">
        <v>25</v>
      </c>
      <c r="C12" s="39">
        <v>27579</v>
      </c>
      <c r="D12" s="44">
        <v>20000</v>
      </c>
      <c r="E12" s="10"/>
      <c r="F12" s="46">
        <v>37012</v>
      </c>
      <c r="G12" s="46">
        <v>37407</v>
      </c>
      <c r="H12" s="12">
        <v>0</v>
      </c>
      <c r="I12" s="12">
        <f>"1/01/02"-F12</f>
        <v>245</v>
      </c>
      <c r="J12" s="12">
        <f>+G12-"12/31/01"</f>
        <v>151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U12" s="12">
        <f t="shared" si="1"/>
        <v>0</v>
      </c>
      <c r="V12" s="12">
        <f t="shared" si="2"/>
        <v>4900000</v>
      </c>
      <c r="W12" s="12">
        <f t="shared" si="2"/>
        <v>3020000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</row>
    <row r="13" spans="1:43" x14ac:dyDescent="0.2">
      <c r="A13" s="1" t="s">
        <v>93</v>
      </c>
      <c r="B13" s="41" t="s">
        <v>83</v>
      </c>
      <c r="C13" s="39">
        <v>24754</v>
      </c>
      <c r="D13" s="44">
        <v>1000</v>
      </c>
      <c r="E13" s="10"/>
      <c r="F13" s="46" t="s">
        <v>92</v>
      </c>
      <c r="G13" s="45">
        <v>38472</v>
      </c>
      <c r="H13" s="12">
        <v>366</v>
      </c>
      <c r="I13" s="12">
        <v>365</v>
      </c>
      <c r="J13" s="12">
        <v>365</v>
      </c>
      <c r="K13" s="12">
        <v>365</v>
      </c>
      <c r="L13" s="12">
        <v>366</v>
      </c>
      <c r="M13" s="12">
        <f>+G13-"12/31/04"</f>
        <v>120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3"/>
      <c r="T13" s="17"/>
      <c r="U13" s="12">
        <f t="shared" si="1"/>
        <v>366000</v>
      </c>
      <c r="V13" s="12">
        <f t="shared" si="2"/>
        <v>365000</v>
      </c>
      <c r="W13" s="12">
        <f t="shared" si="2"/>
        <v>365000</v>
      </c>
      <c r="X13" s="12">
        <f t="shared" si="2"/>
        <v>365000</v>
      </c>
      <c r="Y13" s="12">
        <f t="shared" si="2"/>
        <v>366000</v>
      </c>
      <c r="Z13" s="12">
        <f t="shared" si="2"/>
        <v>120000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</row>
    <row r="14" spans="1:43" x14ac:dyDescent="0.2">
      <c r="A14" s="1" t="s">
        <v>93</v>
      </c>
      <c r="B14" s="42" t="s">
        <v>21</v>
      </c>
      <c r="C14" s="39">
        <v>24654</v>
      </c>
      <c r="D14" s="44">
        <v>8000</v>
      </c>
      <c r="G14" s="46">
        <v>37256</v>
      </c>
      <c r="H14" s="12">
        <v>366</v>
      </c>
      <c r="I14">
        <v>365</v>
      </c>
      <c r="U14" s="12">
        <f t="shared" si="1"/>
        <v>2928000</v>
      </c>
    </row>
    <row r="15" spans="1:43" x14ac:dyDescent="0.2">
      <c r="A15" s="1" t="s">
        <v>93</v>
      </c>
      <c r="B15" s="41" t="s">
        <v>21</v>
      </c>
      <c r="C15" s="39">
        <v>26740</v>
      </c>
      <c r="D15" s="44">
        <v>8000</v>
      </c>
      <c r="E15" s="10"/>
      <c r="F15" s="46">
        <v>36312</v>
      </c>
      <c r="G15" s="46">
        <v>39113</v>
      </c>
      <c r="H15" s="12">
        <v>366</v>
      </c>
      <c r="I15" s="12">
        <v>365</v>
      </c>
      <c r="J15" s="12">
        <v>365</v>
      </c>
      <c r="K15" s="12">
        <v>365</v>
      </c>
      <c r="L15" s="12">
        <v>366</v>
      </c>
      <c r="M15" s="12">
        <v>365</v>
      </c>
      <c r="N15" s="12">
        <v>365</v>
      </c>
      <c r="O15" s="12">
        <f>+G15-"12/31/06"</f>
        <v>31</v>
      </c>
      <c r="P15" s="12">
        <v>0</v>
      </c>
      <c r="Q15" s="12">
        <v>0</v>
      </c>
      <c r="R15" s="12">
        <v>0</v>
      </c>
      <c r="U15" s="12">
        <f t="shared" si="1"/>
        <v>2928000</v>
      </c>
      <c r="V15" s="12">
        <f t="shared" ref="V15:AE15" si="3">+I15*$D15</f>
        <v>2920000</v>
      </c>
      <c r="W15" s="12">
        <f t="shared" si="3"/>
        <v>2920000</v>
      </c>
      <c r="X15" s="12">
        <f t="shared" si="3"/>
        <v>2920000</v>
      </c>
      <c r="Y15" s="12">
        <f t="shared" si="3"/>
        <v>2928000</v>
      </c>
      <c r="Z15" s="12">
        <f t="shared" si="3"/>
        <v>2920000</v>
      </c>
      <c r="AA15" s="12">
        <f t="shared" si="3"/>
        <v>2920000</v>
      </c>
      <c r="AB15" s="12">
        <f t="shared" si="3"/>
        <v>248000</v>
      </c>
      <c r="AC15" s="12">
        <f t="shared" si="3"/>
        <v>0</v>
      </c>
      <c r="AD15" s="12">
        <f t="shared" si="3"/>
        <v>0</v>
      </c>
      <c r="AE15" s="12">
        <f t="shared" si="3"/>
        <v>0</v>
      </c>
    </row>
    <row r="16" spans="1:43" x14ac:dyDescent="0.2">
      <c r="A16" s="1" t="s">
        <v>93</v>
      </c>
      <c r="B16" s="42" t="s">
        <v>94</v>
      </c>
      <c r="C16" s="39">
        <v>24568</v>
      </c>
      <c r="D16" s="44">
        <v>32000</v>
      </c>
      <c r="G16" s="46">
        <v>37256</v>
      </c>
      <c r="H16" s="12">
        <v>366</v>
      </c>
      <c r="I16">
        <v>365</v>
      </c>
      <c r="U16" s="12">
        <f t="shared" si="1"/>
        <v>11712000</v>
      </c>
    </row>
    <row r="17" spans="1:43" x14ac:dyDescent="0.2">
      <c r="A17" s="1" t="s">
        <v>93</v>
      </c>
      <c r="B17" s="42" t="s">
        <v>84</v>
      </c>
      <c r="C17" s="39">
        <v>25374</v>
      </c>
      <c r="D17" s="44">
        <v>23000</v>
      </c>
      <c r="E17" s="10"/>
      <c r="F17" s="46">
        <v>35947</v>
      </c>
      <c r="G17" s="46">
        <v>37103</v>
      </c>
      <c r="H17" s="12">
        <v>366</v>
      </c>
      <c r="I17" s="12">
        <f>+G17-"12/31/00"</f>
        <v>212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3"/>
      <c r="T17" s="17"/>
      <c r="U17" s="12">
        <f t="shared" si="1"/>
        <v>8418000</v>
      </c>
      <c r="V17" s="12">
        <f t="shared" ref="V17:AE18" si="4">+I17*$D17</f>
        <v>4876000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4"/>
        <v>0</v>
      </c>
      <c r="AA17" s="12">
        <f t="shared" si="4"/>
        <v>0</v>
      </c>
      <c r="AB17" s="12">
        <f t="shared" si="4"/>
        <v>0</v>
      </c>
      <c r="AC17" s="12">
        <f t="shared" si="4"/>
        <v>0</v>
      </c>
      <c r="AD17" s="12">
        <f t="shared" si="4"/>
        <v>0</v>
      </c>
      <c r="AE17" s="12">
        <f t="shared" si="4"/>
        <v>0</v>
      </c>
    </row>
    <row r="18" spans="1:43" x14ac:dyDescent="0.2">
      <c r="A18" s="1" t="s">
        <v>93</v>
      </c>
      <c r="B18" s="41" t="s">
        <v>86</v>
      </c>
      <c r="C18" s="39">
        <v>27104</v>
      </c>
      <c r="D18" s="44">
        <v>14032</v>
      </c>
      <c r="E18" s="10"/>
      <c r="F18" s="46">
        <v>36557</v>
      </c>
      <c r="G18" s="46">
        <v>38383</v>
      </c>
      <c r="H18" s="12">
        <f>"1/01/01"-F18</f>
        <v>335</v>
      </c>
      <c r="I18" s="12">
        <v>365</v>
      </c>
      <c r="J18" s="12">
        <v>365</v>
      </c>
      <c r="K18" s="12">
        <v>365</v>
      </c>
      <c r="L18" s="12">
        <v>366</v>
      </c>
      <c r="M18" s="12">
        <f>+G18-"12/31/04"</f>
        <v>31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U18" s="12">
        <f t="shared" si="1"/>
        <v>4700720</v>
      </c>
      <c r="V18" s="12">
        <f t="shared" si="4"/>
        <v>5121680</v>
      </c>
      <c r="W18" s="12">
        <f t="shared" si="4"/>
        <v>5121680</v>
      </c>
      <c r="X18" s="12">
        <f t="shared" si="4"/>
        <v>5121680</v>
      </c>
      <c r="Y18" s="12">
        <f t="shared" si="4"/>
        <v>5135712</v>
      </c>
      <c r="Z18" s="12">
        <f t="shared" si="4"/>
        <v>434992</v>
      </c>
      <c r="AA18" s="12">
        <f t="shared" si="4"/>
        <v>0</v>
      </c>
      <c r="AB18" s="12">
        <f t="shared" si="4"/>
        <v>0</v>
      </c>
      <c r="AC18" s="12">
        <f t="shared" si="4"/>
        <v>0</v>
      </c>
      <c r="AD18" s="12">
        <f t="shared" si="4"/>
        <v>0</v>
      </c>
      <c r="AE18" s="12">
        <f t="shared" si="4"/>
        <v>0</v>
      </c>
    </row>
    <row r="19" spans="1:43" x14ac:dyDescent="0.2">
      <c r="A19" s="1" t="s">
        <v>93</v>
      </c>
      <c r="B19" s="40" t="s">
        <v>80</v>
      </c>
      <c r="C19" s="38">
        <v>24194</v>
      </c>
      <c r="D19" s="43">
        <v>10000</v>
      </c>
      <c r="E19" s="10"/>
      <c r="F19" s="45" t="s">
        <v>91</v>
      </c>
      <c r="G19" s="45">
        <v>37164</v>
      </c>
      <c r="H19" s="12">
        <v>366</v>
      </c>
      <c r="I19" s="12">
        <f>+G19-"12/31/00"</f>
        <v>273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3"/>
      <c r="T19" s="17"/>
      <c r="U19" s="12">
        <f t="shared" ref="U19:AE21" si="5">+H19*$D19</f>
        <v>3660000</v>
      </c>
      <c r="V19" s="12">
        <f t="shared" si="5"/>
        <v>2730000</v>
      </c>
      <c r="W19" s="12">
        <f t="shared" si="5"/>
        <v>0</v>
      </c>
      <c r="X19" s="12">
        <f t="shared" si="5"/>
        <v>0</v>
      </c>
      <c r="Y19" s="12">
        <f t="shared" si="5"/>
        <v>0</v>
      </c>
      <c r="Z19" s="12">
        <f t="shared" si="5"/>
        <v>0</v>
      </c>
      <c r="AA19" s="12">
        <f t="shared" si="5"/>
        <v>0</v>
      </c>
      <c r="AB19" s="12">
        <f t="shared" si="5"/>
        <v>0</v>
      </c>
      <c r="AC19" s="12">
        <f t="shared" si="5"/>
        <v>0</v>
      </c>
      <c r="AD19" s="12">
        <f t="shared" si="5"/>
        <v>0</v>
      </c>
      <c r="AE19" s="12">
        <f t="shared" si="5"/>
        <v>0</v>
      </c>
    </row>
    <row r="20" spans="1:43" x14ac:dyDescent="0.2">
      <c r="A20" s="1" t="s">
        <v>93</v>
      </c>
      <c r="B20" s="40" t="s">
        <v>82</v>
      </c>
      <c r="C20" s="38" t="s">
        <v>81</v>
      </c>
      <c r="D20" s="43">
        <v>35714</v>
      </c>
      <c r="E20" s="10"/>
      <c r="F20" s="45">
        <v>34851</v>
      </c>
      <c r="G20" s="45">
        <v>37407</v>
      </c>
      <c r="H20" s="12">
        <v>366</v>
      </c>
      <c r="I20" s="12">
        <v>365</v>
      </c>
      <c r="J20" s="12">
        <f>+G20-"12/31/01"</f>
        <v>151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3"/>
      <c r="T20" s="17"/>
      <c r="U20" s="12">
        <f t="shared" si="5"/>
        <v>13071324</v>
      </c>
      <c r="V20" s="12">
        <f t="shared" si="5"/>
        <v>13035610</v>
      </c>
      <c r="W20" s="12">
        <f t="shared" si="5"/>
        <v>5392814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43" x14ac:dyDescent="0.2">
      <c r="A21" s="1" t="s">
        <v>93</v>
      </c>
      <c r="B21" s="41" t="s">
        <v>30</v>
      </c>
      <c r="C21" s="39">
        <v>27161</v>
      </c>
      <c r="D21" s="44">
        <v>400000</v>
      </c>
      <c r="E21" s="10"/>
      <c r="F21" s="46">
        <v>36617</v>
      </c>
      <c r="G21" s="46">
        <v>37711</v>
      </c>
      <c r="H21" s="12">
        <f>"1/01/01"-F21</f>
        <v>275</v>
      </c>
      <c r="I21" s="12">
        <v>365</v>
      </c>
      <c r="J21" s="12">
        <v>365</v>
      </c>
      <c r="K21" s="12">
        <f>+G21-"12/31/02"</f>
        <v>90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U21" s="12">
        <f t="shared" si="5"/>
        <v>110000000</v>
      </c>
      <c r="V21" s="12">
        <f t="shared" si="5"/>
        <v>146000000</v>
      </c>
      <c r="W21" s="12">
        <f t="shared" si="5"/>
        <v>146000000</v>
      </c>
      <c r="X21" s="12">
        <f t="shared" si="5"/>
        <v>36000000</v>
      </c>
      <c r="Y21" s="12">
        <f t="shared" si="5"/>
        <v>0</v>
      </c>
      <c r="Z21" s="12">
        <f t="shared" si="5"/>
        <v>0</v>
      </c>
      <c r="AA21" s="12">
        <f t="shared" si="5"/>
        <v>0</v>
      </c>
      <c r="AB21" s="12">
        <f t="shared" si="5"/>
        <v>0</v>
      </c>
      <c r="AC21" s="12">
        <f t="shared" si="5"/>
        <v>0</v>
      </c>
      <c r="AD21" s="12">
        <f t="shared" si="5"/>
        <v>0</v>
      </c>
      <c r="AE21" s="12">
        <f t="shared" si="5"/>
        <v>0</v>
      </c>
    </row>
    <row r="22" spans="1:43" x14ac:dyDescent="0.2">
      <c r="A22" s="1" t="s">
        <v>93</v>
      </c>
      <c r="B22" s="42" t="s">
        <v>19</v>
      </c>
      <c r="C22" s="39">
        <v>24809</v>
      </c>
      <c r="D22" s="44">
        <v>20000</v>
      </c>
      <c r="G22" s="46">
        <v>37225</v>
      </c>
      <c r="H22" s="12">
        <v>366</v>
      </c>
      <c r="I22" s="47">
        <f>+G22-"12/31/00"</f>
        <v>334</v>
      </c>
      <c r="U22" s="12">
        <f>+H22*$D22</f>
        <v>7320000</v>
      </c>
    </row>
    <row r="23" spans="1:43" x14ac:dyDescent="0.2">
      <c r="A23" s="1" t="s">
        <v>93</v>
      </c>
      <c r="B23" s="42" t="s">
        <v>88</v>
      </c>
      <c r="C23" s="39">
        <v>27420</v>
      </c>
      <c r="D23" s="44">
        <v>2500</v>
      </c>
      <c r="E23" s="10"/>
      <c r="F23" s="46">
        <v>36861</v>
      </c>
      <c r="G23" s="46">
        <v>37225</v>
      </c>
      <c r="H23" s="12">
        <v>31</v>
      </c>
      <c r="I23" s="12">
        <f>+G23-"12/31/00"</f>
        <v>334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U23" s="12">
        <f>+H23*$D23</f>
        <v>77500</v>
      </c>
      <c r="V23" s="12">
        <f t="shared" ref="V23:AE23" si="6">+I23*$D23</f>
        <v>835000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</row>
    <row r="24" spans="1:43" x14ac:dyDescent="0.2">
      <c r="A24" s="1"/>
      <c r="B24" s="42"/>
      <c r="C24" s="39"/>
      <c r="D24" s="44"/>
      <c r="E24" s="10"/>
      <c r="F24" s="46"/>
      <c r="G24" s="4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3" x14ac:dyDescent="0.2">
      <c r="A25" s="1"/>
      <c r="B25" s="42"/>
      <c r="C25" s="39"/>
      <c r="D25" s="44"/>
      <c r="E25" s="10"/>
      <c r="F25" s="46"/>
      <c r="G25" s="4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43" x14ac:dyDescent="0.2">
      <c r="A26" s="1" t="s">
        <v>71</v>
      </c>
      <c r="B26" s="10" t="s">
        <v>32</v>
      </c>
      <c r="C26" s="29">
        <v>26490</v>
      </c>
      <c r="D26">
        <v>70000</v>
      </c>
      <c r="E26" s="2">
        <v>0.14000000000000001</v>
      </c>
      <c r="F26" s="27">
        <v>36100</v>
      </c>
      <c r="G26" s="11">
        <v>37925</v>
      </c>
      <c r="H26" s="35">
        <v>366</v>
      </c>
      <c r="I26" s="35">
        <v>365</v>
      </c>
      <c r="J26" s="35">
        <v>365</v>
      </c>
      <c r="K26" s="35">
        <f>+G26-"12/31/02"</f>
        <v>304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12"/>
      <c r="T26" s="17"/>
      <c r="U26" s="12">
        <f t="shared" ref="U26:AE29" si="7">+H26*$D26</f>
        <v>25620000</v>
      </c>
      <c r="V26" s="12">
        <f t="shared" si="7"/>
        <v>25550000</v>
      </c>
      <c r="W26" s="12">
        <f t="shared" si="7"/>
        <v>25550000</v>
      </c>
      <c r="X26" s="12">
        <f t="shared" si="7"/>
        <v>21280000</v>
      </c>
      <c r="Y26" s="12">
        <f t="shared" si="7"/>
        <v>0</v>
      </c>
      <c r="Z26" s="12">
        <f t="shared" si="7"/>
        <v>0</v>
      </c>
      <c r="AA26" s="12">
        <f t="shared" si="7"/>
        <v>0</v>
      </c>
      <c r="AB26" s="12">
        <f t="shared" si="7"/>
        <v>0</v>
      </c>
      <c r="AC26" s="12">
        <f t="shared" si="7"/>
        <v>0</v>
      </c>
      <c r="AD26" s="12">
        <f t="shared" si="7"/>
        <v>0</v>
      </c>
      <c r="AE26" s="12">
        <f t="shared" si="7"/>
        <v>0</v>
      </c>
      <c r="AG26" s="13">
        <f t="shared" ref="AG26:AQ31" si="8">+U26*$E26</f>
        <v>3586800.0000000005</v>
      </c>
      <c r="AH26" s="13">
        <f t="shared" si="8"/>
        <v>3577000.0000000005</v>
      </c>
      <c r="AI26" s="13">
        <f t="shared" si="8"/>
        <v>3577000.0000000005</v>
      </c>
      <c r="AJ26" s="13">
        <f t="shared" si="8"/>
        <v>2979200.0000000005</v>
      </c>
      <c r="AK26" s="13">
        <f t="shared" si="8"/>
        <v>0</v>
      </c>
      <c r="AL26" s="13">
        <f t="shared" si="8"/>
        <v>0</v>
      </c>
      <c r="AM26" s="13">
        <f t="shared" si="8"/>
        <v>0</v>
      </c>
      <c r="AN26" s="13">
        <f t="shared" si="8"/>
        <v>0</v>
      </c>
      <c r="AO26" s="13">
        <f t="shared" si="8"/>
        <v>0</v>
      </c>
      <c r="AP26" s="13">
        <f t="shared" si="8"/>
        <v>0</v>
      </c>
      <c r="AQ26" s="13">
        <f t="shared" si="8"/>
        <v>0</v>
      </c>
    </row>
    <row r="27" spans="1:43" x14ac:dyDescent="0.2">
      <c r="A27" s="1" t="s">
        <v>71</v>
      </c>
      <c r="B27" s="10" t="s">
        <v>70</v>
      </c>
      <c r="C27" s="31">
        <v>27334</v>
      </c>
      <c r="D27">
        <v>14000</v>
      </c>
      <c r="E27" s="2"/>
      <c r="F27" s="27">
        <v>36982</v>
      </c>
      <c r="G27" s="11">
        <v>37195</v>
      </c>
      <c r="H27" s="35">
        <v>0</v>
      </c>
      <c r="I27" s="35">
        <f>"11/1/01"-F27</f>
        <v>214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3"/>
      <c r="T27" s="17"/>
      <c r="U27" s="12">
        <f t="shared" si="7"/>
        <v>0</v>
      </c>
      <c r="V27" s="12">
        <f t="shared" si="7"/>
        <v>2996000</v>
      </c>
      <c r="W27" s="12">
        <f t="shared" si="7"/>
        <v>0</v>
      </c>
      <c r="X27" s="12">
        <f t="shared" si="7"/>
        <v>0</v>
      </c>
      <c r="Y27" s="12">
        <f t="shared" si="7"/>
        <v>0</v>
      </c>
      <c r="Z27" s="12">
        <f t="shared" si="7"/>
        <v>0</v>
      </c>
      <c r="AA27" s="12">
        <f t="shared" si="7"/>
        <v>0</v>
      </c>
      <c r="AB27" s="12">
        <f t="shared" si="7"/>
        <v>0</v>
      </c>
      <c r="AC27" s="12">
        <f t="shared" si="7"/>
        <v>0</v>
      </c>
      <c r="AD27" s="12">
        <f t="shared" si="7"/>
        <v>0</v>
      </c>
      <c r="AE27" s="12">
        <f t="shared" si="7"/>
        <v>0</v>
      </c>
      <c r="AG27" s="13">
        <f t="shared" si="8"/>
        <v>0</v>
      </c>
      <c r="AH27" s="13">
        <f t="shared" si="8"/>
        <v>0</v>
      </c>
      <c r="AI27" s="13">
        <f t="shared" si="8"/>
        <v>0</v>
      </c>
      <c r="AJ27" s="13">
        <f t="shared" si="8"/>
        <v>0</v>
      </c>
      <c r="AK27" s="13">
        <f t="shared" si="8"/>
        <v>0</v>
      </c>
      <c r="AL27" s="13">
        <f t="shared" si="8"/>
        <v>0</v>
      </c>
      <c r="AM27" s="13">
        <f t="shared" si="8"/>
        <v>0</v>
      </c>
      <c r="AN27" s="13">
        <f t="shared" si="8"/>
        <v>0</v>
      </c>
      <c r="AO27" s="13">
        <f t="shared" si="8"/>
        <v>0</v>
      </c>
      <c r="AP27" s="13">
        <f t="shared" si="8"/>
        <v>0</v>
      </c>
      <c r="AQ27" s="13">
        <f t="shared" si="8"/>
        <v>0</v>
      </c>
    </row>
    <row r="28" spans="1:43" x14ac:dyDescent="0.2">
      <c r="A28" s="1" t="s">
        <v>71</v>
      </c>
      <c r="B28" s="10" t="s">
        <v>31</v>
      </c>
      <c r="C28" s="29">
        <v>26683</v>
      </c>
      <c r="D28">
        <v>8000</v>
      </c>
      <c r="E28" s="2">
        <v>0.152</v>
      </c>
      <c r="F28" s="27">
        <v>36220</v>
      </c>
      <c r="G28" s="11">
        <v>37346</v>
      </c>
      <c r="H28" s="35">
        <v>366</v>
      </c>
      <c r="I28" s="35">
        <v>365</v>
      </c>
      <c r="J28" s="35">
        <f>+G28-"12/31/01"</f>
        <v>90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12"/>
      <c r="T28" s="17"/>
      <c r="U28" s="12">
        <f t="shared" si="7"/>
        <v>2928000</v>
      </c>
      <c r="V28" s="12">
        <f t="shared" si="7"/>
        <v>2920000</v>
      </c>
      <c r="W28" s="12">
        <f t="shared" si="7"/>
        <v>720000</v>
      </c>
      <c r="X28" s="12">
        <f t="shared" si="7"/>
        <v>0</v>
      </c>
      <c r="Y28" s="12">
        <f t="shared" si="7"/>
        <v>0</v>
      </c>
      <c r="Z28" s="12">
        <f t="shared" si="7"/>
        <v>0</v>
      </c>
      <c r="AA28" s="12">
        <f t="shared" si="7"/>
        <v>0</v>
      </c>
      <c r="AB28" s="12">
        <f t="shared" si="7"/>
        <v>0</v>
      </c>
      <c r="AC28" s="12">
        <f t="shared" si="7"/>
        <v>0</v>
      </c>
      <c r="AD28" s="12">
        <f t="shared" si="7"/>
        <v>0</v>
      </c>
      <c r="AE28" s="12">
        <f t="shared" si="7"/>
        <v>0</v>
      </c>
      <c r="AG28" s="13">
        <f t="shared" si="8"/>
        <v>445056</v>
      </c>
      <c r="AH28" s="13">
        <f t="shared" si="8"/>
        <v>443840</v>
      </c>
      <c r="AI28" s="13">
        <f t="shared" si="8"/>
        <v>109440</v>
      </c>
      <c r="AJ28" s="13">
        <f t="shared" si="8"/>
        <v>0</v>
      </c>
      <c r="AK28" s="13">
        <f t="shared" si="8"/>
        <v>0</v>
      </c>
      <c r="AL28" s="13">
        <f t="shared" si="8"/>
        <v>0</v>
      </c>
      <c r="AM28" s="13">
        <f t="shared" si="8"/>
        <v>0</v>
      </c>
      <c r="AN28" s="13">
        <f t="shared" si="8"/>
        <v>0</v>
      </c>
      <c r="AO28" s="13">
        <f t="shared" si="8"/>
        <v>0</v>
      </c>
      <c r="AP28" s="13">
        <f t="shared" si="8"/>
        <v>0</v>
      </c>
      <c r="AQ28" s="13">
        <f t="shared" si="8"/>
        <v>0</v>
      </c>
    </row>
    <row r="29" spans="1:43" x14ac:dyDescent="0.2">
      <c r="A29" s="1" t="s">
        <v>71</v>
      </c>
      <c r="B29" s="10" t="s">
        <v>25</v>
      </c>
      <c r="C29">
        <v>25838</v>
      </c>
      <c r="D29">
        <v>10475</v>
      </c>
      <c r="E29" s="2">
        <v>8.5000000000000006E-2</v>
      </c>
      <c r="F29" s="27"/>
      <c r="G29" s="11">
        <v>36556</v>
      </c>
      <c r="H29" s="35">
        <f>G29-"12/31/99"</f>
        <v>31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12"/>
      <c r="T29" s="17"/>
      <c r="U29" s="12">
        <f t="shared" si="7"/>
        <v>324725</v>
      </c>
      <c r="V29" s="12">
        <f t="shared" si="7"/>
        <v>0</v>
      </c>
      <c r="W29" s="12">
        <f t="shared" si="7"/>
        <v>0</v>
      </c>
      <c r="X29" s="12">
        <f t="shared" si="7"/>
        <v>0</v>
      </c>
      <c r="Y29" s="12">
        <f t="shared" si="7"/>
        <v>0</v>
      </c>
      <c r="Z29" s="12">
        <f t="shared" si="7"/>
        <v>0</v>
      </c>
      <c r="AA29" s="12">
        <f t="shared" si="7"/>
        <v>0</v>
      </c>
      <c r="AB29" s="12">
        <f t="shared" si="7"/>
        <v>0</v>
      </c>
      <c r="AC29" s="12">
        <f t="shared" si="7"/>
        <v>0</v>
      </c>
      <c r="AD29" s="12">
        <f t="shared" si="7"/>
        <v>0</v>
      </c>
      <c r="AE29" s="12">
        <f t="shared" si="7"/>
        <v>0</v>
      </c>
      <c r="AG29" s="13">
        <f t="shared" si="8"/>
        <v>27601.625000000004</v>
      </c>
      <c r="AH29" s="13">
        <f t="shared" si="8"/>
        <v>0</v>
      </c>
      <c r="AI29" s="13">
        <f t="shared" si="8"/>
        <v>0</v>
      </c>
      <c r="AJ29" s="13">
        <f t="shared" si="8"/>
        <v>0</v>
      </c>
      <c r="AK29" s="13">
        <f t="shared" si="8"/>
        <v>0</v>
      </c>
      <c r="AL29" s="13">
        <f t="shared" si="8"/>
        <v>0</v>
      </c>
      <c r="AM29" s="13">
        <f t="shared" si="8"/>
        <v>0</v>
      </c>
      <c r="AN29" s="13">
        <f t="shared" si="8"/>
        <v>0</v>
      </c>
      <c r="AO29" s="13">
        <f t="shared" si="8"/>
        <v>0</v>
      </c>
      <c r="AP29" s="13">
        <f t="shared" si="8"/>
        <v>0</v>
      </c>
      <c r="AQ29" s="13">
        <f t="shared" si="8"/>
        <v>0</v>
      </c>
    </row>
    <row r="30" spans="1:43" x14ac:dyDescent="0.2">
      <c r="A30" s="1" t="s">
        <v>71</v>
      </c>
      <c r="B30" s="10" t="s">
        <v>25</v>
      </c>
      <c r="C30" s="31">
        <v>26758</v>
      </c>
      <c r="D30">
        <v>40000</v>
      </c>
      <c r="E30" s="2"/>
      <c r="F30" s="27">
        <v>36647</v>
      </c>
      <c r="G30" s="11">
        <v>38472</v>
      </c>
      <c r="H30" s="36">
        <f>"1/01/01"-F30</f>
        <v>245</v>
      </c>
      <c r="I30" s="35">
        <v>365</v>
      </c>
      <c r="J30" s="35">
        <v>365</v>
      </c>
      <c r="K30" s="35">
        <v>365</v>
      </c>
      <c r="L30" s="35">
        <f>G30-"12/31/04"</f>
        <v>120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12"/>
      <c r="T30" s="17"/>
      <c r="U30" s="12"/>
      <c r="V30" s="12">
        <f>+I30*$D30</f>
        <v>14600000</v>
      </c>
      <c r="W30" s="12"/>
      <c r="X30" s="12"/>
      <c r="Y30" s="12"/>
      <c r="Z30" s="12"/>
      <c r="AA30" s="12"/>
      <c r="AB30" s="12"/>
      <c r="AC30" s="12"/>
      <c r="AD30" s="12"/>
      <c r="AE30" s="12"/>
      <c r="AG30" s="13">
        <f t="shared" si="8"/>
        <v>0</v>
      </c>
      <c r="AH30" s="13">
        <f t="shared" si="8"/>
        <v>0</v>
      </c>
      <c r="AI30" s="13">
        <f t="shared" si="8"/>
        <v>0</v>
      </c>
      <c r="AJ30" s="13">
        <f t="shared" si="8"/>
        <v>0</v>
      </c>
      <c r="AK30" s="13">
        <f t="shared" si="8"/>
        <v>0</v>
      </c>
      <c r="AL30" s="13">
        <f t="shared" si="8"/>
        <v>0</v>
      </c>
      <c r="AM30" s="13">
        <f t="shared" si="8"/>
        <v>0</v>
      </c>
      <c r="AN30" s="13">
        <f t="shared" si="8"/>
        <v>0</v>
      </c>
      <c r="AO30" s="13">
        <f t="shared" si="8"/>
        <v>0</v>
      </c>
      <c r="AP30" s="13">
        <f t="shared" si="8"/>
        <v>0</v>
      </c>
      <c r="AQ30" s="13">
        <f t="shared" si="8"/>
        <v>0</v>
      </c>
    </row>
    <row r="31" spans="1:43" x14ac:dyDescent="0.2">
      <c r="A31" s="1" t="s">
        <v>71</v>
      </c>
      <c r="B31" s="10" t="s">
        <v>27</v>
      </c>
      <c r="C31">
        <v>25847</v>
      </c>
      <c r="D31">
        <v>20000</v>
      </c>
      <c r="E31" s="2">
        <v>0.126</v>
      </c>
      <c r="F31" s="27"/>
      <c r="G31" s="11">
        <v>36556</v>
      </c>
      <c r="H31" s="35">
        <f>G31-"12/31/99"</f>
        <v>31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12"/>
      <c r="T31" s="17"/>
      <c r="U31" s="12">
        <f t="shared" ref="U31:U47" si="9">+H31*$D31</f>
        <v>620000</v>
      </c>
      <c r="V31" s="12">
        <f>+I31*$D31</f>
        <v>0</v>
      </c>
      <c r="W31" s="12">
        <f t="shared" ref="W31:AE35" si="10">+J31*$D31</f>
        <v>0</v>
      </c>
      <c r="X31" s="12">
        <f t="shared" si="10"/>
        <v>0</v>
      </c>
      <c r="Y31" s="12">
        <f t="shared" si="10"/>
        <v>0</v>
      </c>
      <c r="Z31" s="12">
        <f t="shared" si="10"/>
        <v>0</v>
      </c>
      <c r="AA31" s="12">
        <f t="shared" si="10"/>
        <v>0</v>
      </c>
      <c r="AB31" s="12">
        <f t="shared" si="10"/>
        <v>0</v>
      </c>
      <c r="AC31" s="12">
        <f t="shared" si="10"/>
        <v>0</v>
      </c>
      <c r="AD31" s="12">
        <f t="shared" si="10"/>
        <v>0</v>
      </c>
      <c r="AE31" s="12">
        <f t="shared" si="10"/>
        <v>0</v>
      </c>
      <c r="AG31" s="13">
        <f t="shared" si="8"/>
        <v>78120</v>
      </c>
      <c r="AH31" s="13">
        <f t="shared" si="8"/>
        <v>0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13">
        <f t="shared" si="8"/>
        <v>0</v>
      </c>
      <c r="AO31" s="13">
        <f t="shared" si="8"/>
        <v>0</v>
      </c>
      <c r="AP31" s="13">
        <f t="shared" si="8"/>
        <v>0</v>
      </c>
      <c r="AQ31" s="13">
        <f t="shared" si="8"/>
        <v>0</v>
      </c>
    </row>
    <row r="32" spans="1:43" x14ac:dyDescent="0.2">
      <c r="A32" s="1" t="s">
        <v>71</v>
      </c>
      <c r="B32" s="10" t="s">
        <v>107</v>
      </c>
      <c r="C32">
        <v>26635</v>
      </c>
      <c r="D32">
        <v>500</v>
      </c>
      <c r="E32" s="2"/>
      <c r="F32" s="27">
        <v>36192</v>
      </c>
      <c r="G32" s="11">
        <v>37256</v>
      </c>
      <c r="H32" s="36">
        <f>"1/01/00"-F32</f>
        <v>334</v>
      </c>
      <c r="I32" s="15">
        <f>+G32-"12/31/00"</f>
        <v>365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12"/>
      <c r="T32" s="17"/>
      <c r="U32" s="12">
        <f t="shared" si="9"/>
        <v>167000</v>
      </c>
      <c r="V32" s="12"/>
      <c r="W32" s="12">
        <f t="shared" si="10"/>
        <v>0</v>
      </c>
      <c r="X32" s="12">
        <f t="shared" si="10"/>
        <v>0</v>
      </c>
      <c r="Y32" s="12">
        <f t="shared" si="10"/>
        <v>0</v>
      </c>
      <c r="Z32" s="12">
        <f t="shared" si="10"/>
        <v>0</v>
      </c>
      <c r="AA32" s="12">
        <f t="shared" si="10"/>
        <v>0</v>
      </c>
      <c r="AB32" s="12">
        <f t="shared" si="10"/>
        <v>0</v>
      </c>
      <c r="AC32" s="12">
        <f t="shared" si="10"/>
        <v>0</v>
      </c>
      <c r="AD32" s="12">
        <f t="shared" si="10"/>
        <v>0</v>
      </c>
      <c r="AE32" s="12">
        <f t="shared" si="10"/>
        <v>0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x14ac:dyDescent="0.2">
      <c r="A33" s="1" t="s">
        <v>71</v>
      </c>
      <c r="B33" s="10" t="s">
        <v>29</v>
      </c>
      <c r="C33">
        <v>26123</v>
      </c>
      <c r="D33">
        <v>2900</v>
      </c>
      <c r="E33" s="2">
        <v>0.15</v>
      </c>
      <c r="F33" s="27"/>
      <c r="G33" s="11">
        <v>36616</v>
      </c>
      <c r="H33" s="35">
        <f>G33-"12/31/99"</f>
        <v>91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12"/>
      <c r="T33" s="17"/>
      <c r="U33" s="12">
        <f t="shared" si="9"/>
        <v>263900</v>
      </c>
      <c r="V33" s="12">
        <f t="shared" ref="V33:V47" si="11">+I33*$D33</f>
        <v>0</v>
      </c>
      <c r="W33" s="12">
        <f t="shared" si="10"/>
        <v>0</v>
      </c>
      <c r="X33" s="12">
        <f t="shared" si="10"/>
        <v>0</v>
      </c>
      <c r="Y33" s="12">
        <f t="shared" si="10"/>
        <v>0</v>
      </c>
      <c r="Z33" s="12">
        <f t="shared" si="10"/>
        <v>0</v>
      </c>
      <c r="AA33" s="12">
        <f t="shared" si="10"/>
        <v>0</v>
      </c>
      <c r="AB33" s="12">
        <f t="shared" si="10"/>
        <v>0</v>
      </c>
      <c r="AC33" s="12">
        <f t="shared" si="10"/>
        <v>0</v>
      </c>
      <c r="AD33" s="12">
        <f t="shared" si="10"/>
        <v>0</v>
      </c>
      <c r="AE33" s="12">
        <f t="shared" si="10"/>
        <v>0</v>
      </c>
      <c r="AG33" s="13">
        <f t="shared" ref="AG33:AQ35" si="12">+U33*$E33</f>
        <v>39585</v>
      </c>
      <c r="AH33" s="13">
        <f t="shared" si="12"/>
        <v>0</v>
      </c>
      <c r="AI33" s="13">
        <f t="shared" si="12"/>
        <v>0</v>
      </c>
      <c r="AJ33" s="13">
        <f t="shared" si="12"/>
        <v>0</v>
      </c>
      <c r="AK33" s="13">
        <f t="shared" si="12"/>
        <v>0</v>
      </c>
      <c r="AL33" s="13">
        <f t="shared" si="12"/>
        <v>0</v>
      </c>
      <c r="AM33" s="13">
        <f t="shared" si="12"/>
        <v>0</v>
      </c>
      <c r="AN33" s="13">
        <f t="shared" si="12"/>
        <v>0</v>
      </c>
      <c r="AO33" s="13">
        <f t="shared" si="12"/>
        <v>0</v>
      </c>
      <c r="AP33" s="13">
        <f t="shared" si="12"/>
        <v>0</v>
      </c>
      <c r="AQ33" s="13">
        <f t="shared" si="12"/>
        <v>0</v>
      </c>
    </row>
    <row r="34" spans="1:43" x14ac:dyDescent="0.2">
      <c r="A34" s="1" t="s">
        <v>71</v>
      </c>
      <c r="B34" s="10" t="s">
        <v>69</v>
      </c>
      <c r="C34" s="31">
        <v>27340</v>
      </c>
      <c r="D34">
        <v>20000</v>
      </c>
      <c r="E34" s="2"/>
      <c r="F34" s="27">
        <v>36923</v>
      </c>
      <c r="G34" s="11">
        <v>37287</v>
      </c>
      <c r="H34" s="35">
        <v>0</v>
      </c>
      <c r="I34" s="35">
        <f>"1/1/02"-F34</f>
        <v>334</v>
      </c>
      <c r="J34" s="35">
        <f>+G34-"12/31/01"</f>
        <v>31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3"/>
      <c r="T34" s="17"/>
      <c r="U34" s="12">
        <f t="shared" si="9"/>
        <v>0</v>
      </c>
      <c r="V34" s="12">
        <f t="shared" si="11"/>
        <v>6680000</v>
      </c>
      <c r="W34" s="12">
        <f t="shared" si="10"/>
        <v>620000</v>
      </c>
      <c r="X34" s="12">
        <f t="shared" si="10"/>
        <v>0</v>
      </c>
      <c r="Y34" s="12">
        <f t="shared" si="10"/>
        <v>0</v>
      </c>
      <c r="Z34" s="12">
        <f t="shared" si="10"/>
        <v>0</v>
      </c>
      <c r="AA34" s="12">
        <f t="shared" si="10"/>
        <v>0</v>
      </c>
      <c r="AB34" s="12">
        <f t="shared" si="10"/>
        <v>0</v>
      </c>
      <c r="AC34" s="12">
        <f t="shared" si="10"/>
        <v>0</v>
      </c>
      <c r="AD34" s="12">
        <f t="shared" si="10"/>
        <v>0</v>
      </c>
      <c r="AE34" s="12">
        <f t="shared" si="10"/>
        <v>0</v>
      </c>
      <c r="AG34" s="13">
        <f t="shared" si="12"/>
        <v>0</v>
      </c>
      <c r="AH34" s="13">
        <f t="shared" si="12"/>
        <v>0</v>
      </c>
      <c r="AI34" s="13">
        <f t="shared" si="12"/>
        <v>0</v>
      </c>
      <c r="AJ34" s="13">
        <f t="shared" si="12"/>
        <v>0</v>
      </c>
      <c r="AK34" s="13">
        <f t="shared" si="12"/>
        <v>0</v>
      </c>
      <c r="AL34" s="13">
        <f t="shared" si="12"/>
        <v>0</v>
      </c>
      <c r="AM34" s="13">
        <f t="shared" si="12"/>
        <v>0</v>
      </c>
      <c r="AN34" s="13">
        <f t="shared" si="12"/>
        <v>0</v>
      </c>
      <c r="AO34" s="13">
        <f t="shared" si="12"/>
        <v>0</v>
      </c>
      <c r="AP34" s="13">
        <f t="shared" si="12"/>
        <v>0</v>
      </c>
      <c r="AQ34" s="13">
        <f t="shared" si="12"/>
        <v>0</v>
      </c>
    </row>
    <row r="35" spans="1:43" x14ac:dyDescent="0.2">
      <c r="A35" s="1" t="s">
        <v>71</v>
      </c>
      <c r="B35" s="10" t="s">
        <v>26</v>
      </c>
      <c r="C35" s="29">
        <v>25841</v>
      </c>
      <c r="D35">
        <v>40000</v>
      </c>
      <c r="E35" s="2">
        <v>8.7499999999999994E-2</v>
      </c>
      <c r="F35" s="27">
        <v>35827</v>
      </c>
      <c r="G35" s="11">
        <v>37560</v>
      </c>
      <c r="H35" s="35">
        <v>366</v>
      </c>
      <c r="I35" s="35">
        <v>365</v>
      </c>
      <c r="J35" s="35">
        <f>+G35-"12/31/01"</f>
        <v>304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12"/>
      <c r="T35" s="17"/>
      <c r="U35" s="12">
        <f t="shared" si="9"/>
        <v>14640000</v>
      </c>
      <c r="V35" s="12">
        <f t="shared" si="11"/>
        <v>14600000</v>
      </c>
      <c r="W35" s="12">
        <f t="shared" si="10"/>
        <v>12160000</v>
      </c>
      <c r="X35" s="12">
        <f t="shared" si="10"/>
        <v>0</v>
      </c>
      <c r="Y35" s="12">
        <f t="shared" si="10"/>
        <v>0</v>
      </c>
      <c r="Z35" s="12">
        <f t="shared" si="10"/>
        <v>0</v>
      </c>
      <c r="AA35" s="12">
        <f t="shared" si="10"/>
        <v>0</v>
      </c>
      <c r="AB35" s="12">
        <f t="shared" si="10"/>
        <v>0</v>
      </c>
      <c r="AC35" s="12">
        <f t="shared" si="10"/>
        <v>0</v>
      </c>
      <c r="AD35" s="12">
        <f t="shared" si="10"/>
        <v>0</v>
      </c>
      <c r="AE35" s="12">
        <f t="shared" si="10"/>
        <v>0</v>
      </c>
      <c r="AG35" s="13">
        <f t="shared" si="12"/>
        <v>1281000</v>
      </c>
      <c r="AH35" s="13">
        <f t="shared" si="12"/>
        <v>1277500</v>
      </c>
      <c r="AI35" s="13">
        <f t="shared" si="12"/>
        <v>1064000</v>
      </c>
      <c r="AJ35" s="13">
        <f t="shared" si="12"/>
        <v>0</v>
      </c>
      <c r="AK35" s="13">
        <f t="shared" si="12"/>
        <v>0</v>
      </c>
      <c r="AL35" s="13">
        <f t="shared" si="12"/>
        <v>0</v>
      </c>
      <c r="AM35" s="13">
        <f t="shared" si="12"/>
        <v>0</v>
      </c>
      <c r="AN35" s="13">
        <f t="shared" si="12"/>
        <v>0</v>
      </c>
      <c r="AO35" s="13">
        <f t="shared" si="12"/>
        <v>0</v>
      </c>
      <c r="AP35" s="13">
        <f t="shared" si="12"/>
        <v>0</v>
      </c>
      <c r="AQ35" s="13">
        <f t="shared" si="12"/>
        <v>0</v>
      </c>
    </row>
    <row r="36" spans="1:43" x14ac:dyDescent="0.2">
      <c r="A36" s="1" t="s">
        <v>71</v>
      </c>
      <c r="B36" s="10" t="s">
        <v>26</v>
      </c>
      <c r="C36" s="29">
        <v>26511</v>
      </c>
      <c r="D36">
        <v>21000</v>
      </c>
      <c r="E36" s="2"/>
      <c r="F36" s="27">
        <v>36100</v>
      </c>
      <c r="G36" s="11">
        <v>37560</v>
      </c>
      <c r="H36" s="35">
        <v>366</v>
      </c>
      <c r="I36" s="35">
        <v>365</v>
      </c>
      <c r="J36" s="35">
        <f>+G36-"12/31/01"</f>
        <v>304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12"/>
      <c r="T36" s="17"/>
      <c r="U36" s="12">
        <f t="shared" si="9"/>
        <v>7686000</v>
      </c>
      <c r="V36" s="12">
        <f t="shared" si="11"/>
        <v>7665000</v>
      </c>
      <c r="W36" s="12"/>
      <c r="X36" s="12"/>
      <c r="Y36" s="12"/>
      <c r="Z36" s="12"/>
      <c r="AA36" s="12"/>
      <c r="AB36" s="12"/>
      <c r="AC36" s="12"/>
      <c r="AD36" s="12"/>
      <c r="AE36" s="12"/>
      <c r="AG36" s="13">
        <f>+U36*'CSF Rates'!C17</f>
        <v>0</v>
      </c>
      <c r="AH36" s="13">
        <f>+V36*'CSF Rates'!D17</f>
        <v>0</v>
      </c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x14ac:dyDescent="0.2">
      <c r="A37" s="1" t="s">
        <v>71</v>
      </c>
      <c r="B37" s="10" t="s">
        <v>67</v>
      </c>
      <c r="C37" s="31">
        <v>26819</v>
      </c>
      <c r="D37">
        <v>10000</v>
      </c>
      <c r="E37" s="2"/>
      <c r="F37" s="27">
        <v>36647</v>
      </c>
      <c r="G37" s="11">
        <v>38472</v>
      </c>
      <c r="H37" s="36">
        <f>"1/01/01"-F37</f>
        <v>245</v>
      </c>
      <c r="I37" s="35">
        <v>365</v>
      </c>
      <c r="J37" s="35">
        <v>365</v>
      </c>
      <c r="K37" s="35">
        <v>365</v>
      </c>
      <c r="L37" s="35">
        <f>G37-"12/31/04"</f>
        <v>120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12"/>
      <c r="T37" s="17"/>
      <c r="U37" s="12">
        <f t="shared" si="9"/>
        <v>2450000</v>
      </c>
      <c r="V37" s="12">
        <f t="shared" si="11"/>
        <v>3650000</v>
      </c>
      <c r="W37" s="12">
        <f t="shared" ref="W37:AE43" si="13">+J37*$D37</f>
        <v>3650000</v>
      </c>
      <c r="X37" s="12">
        <f t="shared" si="13"/>
        <v>3650000</v>
      </c>
      <c r="Y37" s="12">
        <f t="shared" si="13"/>
        <v>1200000</v>
      </c>
      <c r="Z37" s="12">
        <f t="shared" si="13"/>
        <v>0</v>
      </c>
      <c r="AA37" s="12">
        <f t="shared" si="13"/>
        <v>0</v>
      </c>
      <c r="AB37" s="12">
        <f t="shared" si="13"/>
        <v>0</v>
      </c>
      <c r="AC37" s="12">
        <f t="shared" si="13"/>
        <v>0</v>
      </c>
      <c r="AD37" s="12">
        <f t="shared" si="13"/>
        <v>0</v>
      </c>
      <c r="AE37" s="12">
        <f t="shared" si="13"/>
        <v>0</v>
      </c>
      <c r="AG37" s="13">
        <f t="shared" ref="AG37:AQ39" si="14">+U37*$E37</f>
        <v>0</v>
      </c>
      <c r="AH37" s="13">
        <f t="shared" si="14"/>
        <v>0</v>
      </c>
      <c r="AI37" s="13">
        <f t="shared" si="14"/>
        <v>0</v>
      </c>
      <c r="AJ37" s="13">
        <f t="shared" si="14"/>
        <v>0</v>
      </c>
      <c r="AK37" s="13">
        <f t="shared" si="14"/>
        <v>0</v>
      </c>
      <c r="AL37" s="13">
        <f t="shared" si="14"/>
        <v>0</v>
      </c>
      <c r="AM37" s="13">
        <f t="shared" si="14"/>
        <v>0</v>
      </c>
      <c r="AN37" s="13">
        <f t="shared" si="14"/>
        <v>0</v>
      </c>
      <c r="AO37" s="13">
        <f t="shared" si="14"/>
        <v>0</v>
      </c>
      <c r="AP37" s="13">
        <f t="shared" si="14"/>
        <v>0</v>
      </c>
      <c r="AQ37" s="13">
        <f t="shared" si="14"/>
        <v>0</v>
      </c>
    </row>
    <row r="38" spans="1:43" x14ac:dyDescent="0.2">
      <c r="A38" s="1" t="s">
        <v>71</v>
      </c>
      <c r="B38" s="10" t="s">
        <v>49</v>
      </c>
      <c r="C38" s="31">
        <v>27293</v>
      </c>
      <c r="D38">
        <v>49000</v>
      </c>
      <c r="E38" s="2"/>
      <c r="F38" s="27">
        <v>36831</v>
      </c>
      <c r="G38" s="11">
        <v>37195</v>
      </c>
      <c r="H38" s="36">
        <f>"1/01/01"-F38</f>
        <v>61</v>
      </c>
      <c r="I38" s="15">
        <f>+G38-"12/31/00"</f>
        <v>304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12"/>
      <c r="T38" s="17"/>
      <c r="U38" s="12">
        <f t="shared" si="9"/>
        <v>2989000</v>
      </c>
      <c r="V38" s="12">
        <f t="shared" si="11"/>
        <v>14896000</v>
      </c>
      <c r="W38" s="12">
        <f t="shared" si="13"/>
        <v>0</v>
      </c>
      <c r="X38" s="12">
        <f t="shared" si="13"/>
        <v>0</v>
      </c>
      <c r="Y38" s="12">
        <f t="shared" si="13"/>
        <v>0</v>
      </c>
      <c r="Z38" s="12">
        <f t="shared" si="13"/>
        <v>0</v>
      </c>
      <c r="AA38" s="12">
        <f t="shared" si="13"/>
        <v>0</v>
      </c>
      <c r="AB38" s="12">
        <f t="shared" si="13"/>
        <v>0</v>
      </c>
      <c r="AC38" s="12">
        <f t="shared" si="13"/>
        <v>0</v>
      </c>
      <c r="AD38" s="12">
        <f t="shared" si="13"/>
        <v>0</v>
      </c>
      <c r="AE38" s="12">
        <f t="shared" si="13"/>
        <v>0</v>
      </c>
      <c r="AG38" s="13">
        <f t="shared" si="14"/>
        <v>0</v>
      </c>
      <c r="AH38" s="13">
        <f t="shared" si="14"/>
        <v>0</v>
      </c>
      <c r="AI38" s="13">
        <f t="shared" si="14"/>
        <v>0</v>
      </c>
      <c r="AJ38" s="13">
        <f t="shared" si="14"/>
        <v>0</v>
      </c>
      <c r="AK38" s="13">
        <f t="shared" si="14"/>
        <v>0</v>
      </c>
      <c r="AL38" s="13">
        <f t="shared" si="14"/>
        <v>0</v>
      </c>
      <c r="AM38" s="13">
        <f t="shared" si="14"/>
        <v>0</v>
      </c>
      <c r="AN38" s="13">
        <f t="shared" si="14"/>
        <v>0</v>
      </c>
      <c r="AO38" s="13">
        <f t="shared" si="14"/>
        <v>0</v>
      </c>
      <c r="AP38" s="13">
        <f t="shared" si="14"/>
        <v>0</v>
      </c>
      <c r="AQ38" s="13">
        <f t="shared" si="14"/>
        <v>0</v>
      </c>
    </row>
    <row r="39" spans="1:43" x14ac:dyDescent="0.2">
      <c r="A39" s="1" t="s">
        <v>71</v>
      </c>
      <c r="B39" s="10" t="s">
        <v>49</v>
      </c>
      <c r="C39" s="31">
        <v>27352</v>
      </c>
      <c r="D39">
        <v>21500</v>
      </c>
      <c r="E39" s="2"/>
      <c r="F39" s="27">
        <v>37196</v>
      </c>
      <c r="G39" s="11">
        <v>37560</v>
      </c>
      <c r="H39" s="35">
        <v>0</v>
      </c>
      <c r="I39" s="36">
        <f>"1/01/02"-F39</f>
        <v>61</v>
      </c>
      <c r="J39" s="15">
        <f>+G39-"12/31/01"</f>
        <v>304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3"/>
      <c r="T39" s="17"/>
      <c r="U39" s="12">
        <f t="shared" si="9"/>
        <v>0</v>
      </c>
      <c r="V39" s="12">
        <f t="shared" si="11"/>
        <v>1311500</v>
      </c>
      <c r="W39" s="12">
        <f t="shared" si="13"/>
        <v>6536000</v>
      </c>
      <c r="X39" s="12">
        <f t="shared" si="13"/>
        <v>0</v>
      </c>
      <c r="Y39" s="12">
        <f t="shared" si="13"/>
        <v>0</v>
      </c>
      <c r="Z39" s="12">
        <f t="shared" si="13"/>
        <v>0</v>
      </c>
      <c r="AA39" s="12">
        <f t="shared" si="13"/>
        <v>0</v>
      </c>
      <c r="AB39" s="12">
        <f t="shared" si="13"/>
        <v>0</v>
      </c>
      <c r="AC39" s="12">
        <f t="shared" si="13"/>
        <v>0</v>
      </c>
      <c r="AD39" s="12">
        <f t="shared" si="13"/>
        <v>0</v>
      </c>
      <c r="AE39" s="12">
        <f t="shared" si="13"/>
        <v>0</v>
      </c>
      <c r="AG39" s="13">
        <f t="shared" si="14"/>
        <v>0</v>
      </c>
      <c r="AH39" s="13">
        <f t="shared" si="14"/>
        <v>0</v>
      </c>
      <c r="AI39" s="13">
        <f t="shared" si="14"/>
        <v>0</v>
      </c>
      <c r="AJ39" s="13">
        <f t="shared" si="14"/>
        <v>0</v>
      </c>
      <c r="AK39" s="13">
        <f t="shared" si="14"/>
        <v>0</v>
      </c>
      <c r="AL39" s="13">
        <f t="shared" si="14"/>
        <v>0</v>
      </c>
      <c r="AM39" s="13">
        <f t="shared" si="14"/>
        <v>0</v>
      </c>
      <c r="AN39" s="13">
        <f t="shared" si="14"/>
        <v>0</v>
      </c>
      <c r="AO39" s="13">
        <f t="shared" si="14"/>
        <v>0</v>
      </c>
      <c r="AP39" s="13">
        <f t="shared" si="14"/>
        <v>0</v>
      </c>
      <c r="AQ39" s="13">
        <f t="shared" si="14"/>
        <v>0</v>
      </c>
    </row>
    <row r="40" spans="1:43" x14ac:dyDescent="0.2">
      <c r="A40" s="1" t="s">
        <v>71</v>
      </c>
      <c r="B40" s="10" t="s">
        <v>33</v>
      </c>
      <c r="C40" s="29">
        <v>8255</v>
      </c>
      <c r="D40">
        <v>306000</v>
      </c>
      <c r="E40" s="2" t="s">
        <v>13</v>
      </c>
      <c r="F40" s="27">
        <v>32782</v>
      </c>
      <c r="G40" s="11">
        <v>38656</v>
      </c>
      <c r="H40" s="35">
        <v>366</v>
      </c>
      <c r="I40" s="35">
        <v>365</v>
      </c>
      <c r="J40" s="35">
        <v>365</v>
      </c>
      <c r="K40" s="35">
        <v>365</v>
      </c>
      <c r="L40" s="35">
        <v>366</v>
      </c>
      <c r="M40" s="35">
        <f>G40-"12/31/04"</f>
        <v>304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12"/>
      <c r="T40" s="17"/>
      <c r="U40" s="12">
        <f t="shared" si="9"/>
        <v>111996000</v>
      </c>
      <c r="V40" s="12">
        <f t="shared" si="11"/>
        <v>111690000</v>
      </c>
      <c r="W40" s="12">
        <f t="shared" si="13"/>
        <v>111690000</v>
      </c>
      <c r="X40" s="12">
        <f t="shared" si="13"/>
        <v>111690000</v>
      </c>
      <c r="Y40" s="12">
        <f t="shared" si="13"/>
        <v>111996000</v>
      </c>
      <c r="Z40" s="12">
        <f t="shared" si="13"/>
        <v>93024000</v>
      </c>
      <c r="AA40" s="12">
        <f t="shared" si="13"/>
        <v>0</v>
      </c>
      <c r="AB40" s="12">
        <f t="shared" si="13"/>
        <v>0</v>
      </c>
      <c r="AC40" s="12">
        <f t="shared" si="13"/>
        <v>0</v>
      </c>
      <c r="AD40" s="12">
        <f t="shared" si="13"/>
        <v>0</v>
      </c>
      <c r="AE40" s="12">
        <f t="shared" si="13"/>
        <v>0</v>
      </c>
      <c r="AG40" s="13">
        <f>+U40*'CSF Rates'!C16</f>
        <v>0</v>
      </c>
      <c r="AH40" s="13">
        <f>+V40*'CSF Rates'!D16</f>
        <v>0</v>
      </c>
      <c r="AI40" s="13">
        <f>+W40*'CSF Rates'!E16</f>
        <v>0</v>
      </c>
      <c r="AJ40" s="13">
        <f>+X40*'CSF Rates'!F16</f>
        <v>0</v>
      </c>
      <c r="AK40" s="13">
        <f>+Y40*'CSF Rates'!G16</f>
        <v>0</v>
      </c>
      <c r="AL40" s="13">
        <f>+Z40*'CSF Rates'!H16</f>
        <v>0</v>
      </c>
      <c r="AM40" s="13">
        <f>+AA40*'CSF Rates'!I16</f>
        <v>0</v>
      </c>
      <c r="AN40" s="13">
        <f>+AB40*'CSF Rates'!J16</f>
        <v>0</v>
      </c>
      <c r="AO40" s="13">
        <f>+AC40*'CSF Rates'!K16</f>
        <v>0</v>
      </c>
      <c r="AP40" s="13">
        <f>+AD40*'CSF Rates'!L16</f>
        <v>0</v>
      </c>
      <c r="AQ40" s="13">
        <f>+AE40*'CSF Rates'!M16</f>
        <v>0</v>
      </c>
    </row>
    <row r="41" spans="1:43" x14ac:dyDescent="0.2">
      <c r="A41" s="1" t="s">
        <v>71</v>
      </c>
      <c r="B41" s="10" t="s">
        <v>68</v>
      </c>
      <c r="C41" s="31">
        <v>27252</v>
      </c>
      <c r="D41">
        <v>14000</v>
      </c>
      <c r="E41" s="2"/>
      <c r="F41" s="27">
        <v>36831</v>
      </c>
      <c r="G41" s="11">
        <v>40482</v>
      </c>
      <c r="H41" s="36">
        <f>"1/01/01"-F41</f>
        <v>61</v>
      </c>
      <c r="I41" s="35">
        <v>365</v>
      </c>
      <c r="J41" s="35">
        <v>365</v>
      </c>
      <c r="K41" s="35">
        <v>365</v>
      </c>
      <c r="L41" s="35">
        <v>366</v>
      </c>
      <c r="M41" s="35">
        <v>365</v>
      </c>
      <c r="N41" s="35">
        <v>365</v>
      </c>
      <c r="O41" s="35">
        <v>365</v>
      </c>
      <c r="P41" s="35">
        <v>366</v>
      </c>
      <c r="Q41" s="35">
        <v>365</v>
      </c>
      <c r="R41" s="35">
        <f>+G41-"12/31/09"</f>
        <v>304</v>
      </c>
      <c r="S41" s="12"/>
      <c r="T41" s="17"/>
      <c r="U41" s="12">
        <f t="shared" si="9"/>
        <v>854000</v>
      </c>
      <c r="V41" s="12">
        <f t="shared" si="11"/>
        <v>5110000</v>
      </c>
      <c r="W41" s="12">
        <f t="shared" si="13"/>
        <v>5110000</v>
      </c>
      <c r="X41" s="12">
        <f t="shared" si="13"/>
        <v>5110000</v>
      </c>
      <c r="Y41" s="12">
        <f t="shared" si="13"/>
        <v>5124000</v>
      </c>
      <c r="Z41" s="12">
        <f t="shared" si="13"/>
        <v>5110000</v>
      </c>
      <c r="AA41" s="12">
        <f t="shared" si="13"/>
        <v>5110000</v>
      </c>
      <c r="AB41" s="12">
        <f t="shared" si="13"/>
        <v>5110000</v>
      </c>
      <c r="AC41" s="12">
        <f t="shared" si="13"/>
        <v>5124000</v>
      </c>
      <c r="AD41" s="12">
        <f t="shared" si="13"/>
        <v>5110000</v>
      </c>
      <c r="AE41" s="12">
        <f t="shared" si="13"/>
        <v>4256000</v>
      </c>
      <c r="AG41" s="13">
        <f t="shared" ref="AG41:AQ43" si="15">+U41*$E41</f>
        <v>0</v>
      </c>
      <c r="AH41" s="13">
        <f t="shared" si="15"/>
        <v>0</v>
      </c>
      <c r="AI41" s="13">
        <f t="shared" si="15"/>
        <v>0</v>
      </c>
      <c r="AJ41" s="13">
        <f t="shared" si="15"/>
        <v>0</v>
      </c>
      <c r="AK41" s="13">
        <f t="shared" si="15"/>
        <v>0</v>
      </c>
      <c r="AL41" s="13">
        <f t="shared" si="15"/>
        <v>0</v>
      </c>
      <c r="AM41" s="13">
        <f t="shared" si="15"/>
        <v>0</v>
      </c>
      <c r="AN41" s="13">
        <f t="shared" si="15"/>
        <v>0</v>
      </c>
      <c r="AO41" s="13">
        <f t="shared" si="15"/>
        <v>0</v>
      </c>
      <c r="AP41" s="13">
        <f t="shared" si="15"/>
        <v>0</v>
      </c>
      <c r="AQ41" s="13">
        <f t="shared" si="15"/>
        <v>0</v>
      </c>
    </row>
    <row r="42" spans="1:43" x14ac:dyDescent="0.2">
      <c r="A42" s="1" t="s">
        <v>71</v>
      </c>
      <c r="B42" s="10" t="s">
        <v>28</v>
      </c>
      <c r="C42">
        <v>25850</v>
      </c>
      <c r="D42">
        <v>30000</v>
      </c>
      <c r="E42" s="2">
        <v>0.13539999999999999</v>
      </c>
      <c r="F42" s="27"/>
      <c r="G42" s="11">
        <v>36556</v>
      </c>
      <c r="H42" s="35">
        <f>G42-"12/31/99"</f>
        <v>31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12"/>
      <c r="T42" s="17"/>
      <c r="U42" s="12">
        <f t="shared" si="9"/>
        <v>930000</v>
      </c>
      <c r="V42" s="12">
        <f t="shared" si="11"/>
        <v>0</v>
      </c>
      <c r="W42" s="12">
        <f t="shared" si="13"/>
        <v>0</v>
      </c>
      <c r="X42" s="12">
        <f t="shared" si="13"/>
        <v>0</v>
      </c>
      <c r="Y42" s="12">
        <f t="shared" si="13"/>
        <v>0</v>
      </c>
      <c r="Z42" s="12">
        <f t="shared" si="13"/>
        <v>0</v>
      </c>
      <c r="AA42" s="12">
        <f t="shared" si="13"/>
        <v>0</v>
      </c>
      <c r="AB42" s="12">
        <f t="shared" si="13"/>
        <v>0</v>
      </c>
      <c r="AC42" s="12">
        <f t="shared" si="13"/>
        <v>0</v>
      </c>
      <c r="AD42" s="12">
        <f t="shared" si="13"/>
        <v>0</v>
      </c>
      <c r="AE42" s="12">
        <f t="shared" si="13"/>
        <v>0</v>
      </c>
      <c r="AG42" s="13">
        <f t="shared" si="15"/>
        <v>125922</v>
      </c>
      <c r="AH42" s="13">
        <f t="shared" si="15"/>
        <v>0</v>
      </c>
      <c r="AI42" s="13">
        <f t="shared" si="15"/>
        <v>0</v>
      </c>
      <c r="AJ42" s="13">
        <f t="shared" si="15"/>
        <v>0</v>
      </c>
      <c r="AK42" s="13">
        <f t="shared" si="15"/>
        <v>0</v>
      </c>
      <c r="AL42" s="13">
        <f t="shared" si="15"/>
        <v>0</v>
      </c>
      <c r="AM42" s="13">
        <f t="shared" si="15"/>
        <v>0</v>
      </c>
      <c r="AN42" s="13">
        <f t="shared" si="15"/>
        <v>0</v>
      </c>
      <c r="AO42" s="13">
        <f t="shared" si="15"/>
        <v>0</v>
      </c>
      <c r="AP42" s="13">
        <f t="shared" si="15"/>
        <v>0</v>
      </c>
      <c r="AQ42" s="13">
        <f t="shared" si="15"/>
        <v>0</v>
      </c>
    </row>
    <row r="43" spans="1:43" x14ac:dyDescent="0.2">
      <c r="A43" s="1" t="s">
        <v>71</v>
      </c>
      <c r="B43" s="10" t="s">
        <v>30</v>
      </c>
      <c r="C43">
        <v>26393</v>
      </c>
      <c r="D43">
        <v>30000</v>
      </c>
      <c r="E43" s="2">
        <v>0.113</v>
      </c>
      <c r="F43" s="27"/>
      <c r="G43" s="11">
        <v>36616</v>
      </c>
      <c r="H43" s="35">
        <f>G43-"12/31/99"</f>
        <v>91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12"/>
      <c r="T43" s="17"/>
      <c r="U43" s="12">
        <f t="shared" si="9"/>
        <v>2730000</v>
      </c>
      <c r="V43" s="12">
        <f t="shared" si="11"/>
        <v>0</v>
      </c>
      <c r="W43" s="12">
        <f t="shared" si="13"/>
        <v>0</v>
      </c>
      <c r="X43" s="12">
        <f t="shared" si="13"/>
        <v>0</v>
      </c>
      <c r="Y43" s="12">
        <f t="shared" si="13"/>
        <v>0</v>
      </c>
      <c r="Z43" s="12">
        <f t="shared" si="13"/>
        <v>0</v>
      </c>
      <c r="AA43" s="12">
        <f t="shared" si="13"/>
        <v>0</v>
      </c>
      <c r="AB43" s="12">
        <f t="shared" si="13"/>
        <v>0</v>
      </c>
      <c r="AC43" s="12">
        <f t="shared" si="13"/>
        <v>0</v>
      </c>
      <c r="AD43" s="12">
        <f t="shared" si="13"/>
        <v>0</v>
      </c>
      <c r="AE43" s="12">
        <f t="shared" si="13"/>
        <v>0</v>
      </c>
      <c r="AG43" s="13">
        <f t="shared" si="15"/>
        <v>308490</v>
      </c>
      <c r="AH43" s="13">
        <f t="shared" si="15"/>
        <v>0</v>
      </c>
      <c r="AI43" s="13">
        <f t="shared" si="15"/>
        <v>0</v>
      </c>
      <c r="AJ43" s="13">
        <f t="shared" si="15"/>
        <v>0</v>
      </c>
      <c r="AK43" s="13">
        <f t="shared" si="15"/>
        <v>0</v>
      </c>
      <c r="AL43" s="13">
        <f t="shared" si="15"/>
        <v>0</v>
      </c>
      <c r="AM43" s="13">
        <f t="shared" si="15"/>
        <v>0</v>
      </c>
      <c r="AN43" s="13">
        <f t="shared" si="15"/>
        <v>0</v>
      </c>
      <c r="AO43" s="13">
        <f t="shared" si="15"/>
        <v>0</v>
      </c>
      <c r="AP43" s="13">
        <f t="shared" si="15"/>
        <v>0</v>
      </c>
      <c r="AQ43" s="13">
        <f t="shared" si="15"/>
        <v>0</v>
      </c>
    </row>
    <row r="44" spans="1:43" x14ac:dyDescent="0.2">
      <c r="A44" s="1" t="s">
        <v>95</v>
      </c>
      <c r="B44" s="42" t="s">
        <v>105</v>
      </c>
      <c r="C44" s="39">
        <v>27370</v>
      </c>
      <c r="D44" s="44">
        <v>22000</v>
      </c>
      <c r="F44" s="46">
        <v>36892</v>
      </c>
      <c r="G44" s="46">
        <v>37256</v>
      </c>
      <c r="H44" s="47">
        <v>0</v>
      </c>
      <c r="I44" s="47">
        <f>+G44-"12/31/00"</f>
        <v>365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>
        <v>0</v>
      </c>
      <c r="P44">
        <v>0</v>
      </c>
      <c r="Q44">
        <v>0</v>
      </c>
      <c r="R44">
        <v>0</v>
      </c>
      <c r="U44" s="12">
        <f t="shared" si="9"/>
        <v>0</v>
      </c>
      <c r="V44" s="12">
        <f t="shared" si="11"/>
        <v>8030000</v>
      </c>
      <c r="W44" s="12">
        <f t="shared" ref="W44:AD47" si="16">+J44*$D44</f>
        <v>0</v>
      </c>
      <c r="X44" s="12">
        <f t="shared" si="16"/>
        <v>0</v>
      </c>
      <c r="Y44" s="12">
        <f t="shared" si="16"/>
        <v>0</v>
      </c>
      <c r="Z44" s="12">
        <f t="shared" si="16"/>
        <v>0</v>
      </c>
      <c r="AA44" s="12">
        <f t="shared" si="16"/>
        <v>0</v>
      </c>
      <c r="AB44" s="12">
        <f t="shared" si="16"/>
        <v>0</v>
      </c>
      <c r="AC44" s="12">
        <f t="shared" si="16"/>
        <v>0</v>
      </c>
      <c r="AD44" s="12">
        <f t="shared" si="16"/>
        <v>0</v>
      </c>
    </row>
    <row r="45" spans="1:43" x14ac:dyDescent="0.2">
      <c r="A45" s="1" t="s">
        <v>95</v>
      </c>
      <c r="B45" s="49" t="s">
        <v>105</v>
      </c>
      <c r="C45" s="48">
        <v>27371</v>
      </c>
      <c r="D45" s="50">
        <v>21200</v>
      </c>
      <c r="F45" s="51">
        <v>36923</v>
      </c>
      <c r="G45" s="51">
        <v>37256</v>
      </c>
      <c r="H45" s="47">
        <v>0</v>
      </c>
      <c r="I45" s="47">
        <v>334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>
        <v>0</v>
      </c>
      <c r="P45">
        <v>0</v>
      </c>
      <c r="Q45">
        <v>0</v>
      </c>
      <c r="R45">
        <v>0</v>
      </c>
      <c r="U45" s="12">
        <f t="shared" si="9"/>
        <v>0</v>
      </c>
      <c r="V45" s="12">
        <f t="shared" si="11"/>
        <v>7080800</v>
      </c>
      <c r="W45" s="12">
        <f t="shared" si="16"/>
        <v>0</v>
      </c>
      <c r="X45" s="12">
        <f t="shared" si="16"/>
        <v>0</v>
      </c>
      <c r="Y45" s="12">
        <f t="shared" si="16"/>
        <v>0</v>
      </c>
      <c r="Z45" s="12">
        <f t="shared" si="16"/>
        <v>0</v>
      </c>
      <c r="AA45" s="12">
        <f t="shared" si="16"/>
        <v>0</v>
      </c>
      <c r="AB45" s="12">
        <f t="shared" si="16"/>
        <v>0</v>
      </c>
      <c r="AC45" s="12">
        <f t="shared" si="16"/>
        <v>0</v>
      </c>
      <c r="AD45" s="12">
        <f t="shared" si="16"/>
        <v>0</v>
      </c>
    </row>
    <row r="46" spans="1:43" x14ac:dyDescent="0.2">
      <c r="A46" s="1" t="s">
        <v>95</v>
      </c>
      <c r="B46" s="49" t="s">
        <v>106</v>
      </c>
      <c r="C46" s="39">
        <v>25071</v>
      </c>
      <c r="D46" s="44">
        <v>60000</v>
      </c>
      <c r="F46" s="51">
        <v>35400</v>
      </c>
      <c r="G46" s="51">
        <v>39782</v>
      </c>
      <c r="H46" s="47">
        <v>366</v>
      </c>
      <c r="I46">
        <v>365</v>
      </c>
      <c r="J46" s="47">
        <v>365</v>
      </c>
      <c r="K46" s="47">
        <v>365</v>
      </c>
      <c r="L46" s="47">
        <v>366</v>
      </c>
      <c r="M46" s="47">
        <v>365</v>
      </c>
      <c r="N46" s="47">
        <v>365</v>
      </c>
      <c r="O46" s="47">
        <v>365</v>
      </c>
      <c r="P46" s="47">
        <f>+G46-"12/31/07"</f>
        <v>335</v>
      </c>
      <c r="Q46">
        <v>0</v>
      </c>
      <c r="R46">
        <v>0</v>
      </c>
      <c r="U46" s="12">
        <f t="shared" si="9"/>
        <v>21960000</v>
      </c>
      <c r="V46" s="12">
        <f t="shared" si="11"/>
        <v>21900000</v>
      </c>
      <c r="W46" s="12">
        <f t="shared" si="16"/>
        <v>21900000</v>
      </c>
      <c r="X46" s="12">
        <f t="shared" si="16"/>
        <v>21900000</v>
      </c>
      <c r="Y46" s="12">
        <f t="shared" si="16"/>
        <v>21960000</v>
      </c>
      <c r="Z46" s="12">
        <f t="shared" si="16"/>
        <v>21900000</v>
      </c>
      <c r="AA46" s="12">
        <f t="shared" si="16"/>
        <v>21900000</v>
      </c>
      <c r="AB46" s="12">
        <f t="shared" si="16"/>
        <v>21900000</v>
      </c>
      <c r="AC46" s="12">
        <f t="shared" si="16"/>
        <v>20100000</v>
      </c>
      <c r="AD46" s="12">
        <f t="shared" si="16"/>
        <v>0</v>
      </c>
    </row>
    <row r="47" spans="1:43" ht="13.5" thickBot="1" x14ac:dyDescent="0.25">
      <c r="A47" s="1" t="s">
        <v>95</v>
      </c>
      <c r="B47" s="83" t="s">
        <v>106</v>
      </c>
      <c r="C47" s="84">
        <v>27460</v>
      </c>
      <c r="D47" s="85">
        <v>55000</v>
      </c>
      <c r="E47" s="4"/>
      <c r="F47" s="87">
        <v>37257</v>
      </c>
      <c r="G47" s="87">
        <v>37986</v>
      </c>
      <c r="H47" s="91">
        <v>0</v>
      </c>
      <c r="I47" s="4">
        <v>0</v>
      </c>
      <c r="J47" s="91">
        <v>365</v>
      </c>
      <c r="K47" s="91">
        <f>+G47-"12/31/02"</f>
        <v>365</v>
      </c>
      <c r="L47" s="91">
        <v>0</v>
      </c>
      <c r="M47" s="91">
        <v>0</v>
      </c>
      <c r="N47" s="91">
        <v>0</v>
      </c>
      <c r="O47" s="4">
        <v>0</v>
      </c>
      <c r="P47" s="4">
        <v>0</v>
      </c>
      <c r="Q47" s="4">
        <v>0</v>
      </c>
      <c r="R47" s="4">
        <v>0</v>
      </c>
      <c r="U47" s="90">
        <f t="shared" si="9"/>
        <v>0</v>
      </c>
      <c r="V47" s="90">
        <f t="shared" si="11"/>
        <v>0</v>
      </c>
      <c r="W47" s="90">
        <f t="shared" si="16"/>
        <v>20075000</v>
      </c>
      <c r="X47" s="90">
        <f t="shared" si="16"/>
        <v>20075000</v>
      </c>
      <c r="Y47" s="90">
        <f t="shared" si="16"/>
        <v>0</v>
      </c>
      <c r="Z47" s="90">
        <f t="shared" si="16"/>
        <v>0</v>
      </c>
      <c r="AA47" s="90">
        <f t="shared" si="16"/>
        <v>0</v>
      </c>
      <c r="AB47" s="90">
        <f t="shared" si="16"/>
        <v>0</v>
      </c>
      <c r="AC47" s="90">
        <f t="shared" si="16"/>
        <v>0</v>
      </c>
      <c r="AD47" s="90">
        <f t="shared" si="16"/>
        <v>0</v>
      </c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2">
      <c r="A48" s="1" t="s">
        <v>95</v>
      </c>
      <c r="B48" s="42" t="s">
        <v>16</v>
      </c>
      <c r="C48" s="39">
        <v>25067</v>
      </c>
      <c r="D48" s="44">
        <v>15000</v>
      </c>
      <c r="F48" s="45">
        <v>35309</v>
      </c>
      <c r="G48" s="46">
        <v>37225</v>
      </c>
      <c r="H48">
        <v>366</v>
      </c>
      <c r="I48" s="47">
        <f>+G48-"12/31/00"</f>
        <v>334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>
        <v>0</v>
      </c>
      <c r="P48">
        <v>0</v>
      </c>
      <c r="Q48">
        <v>0</v>
      </c>
      <c r="R48">
        <v>0</v>
      </c>
      <c r="U48" s="12">
        <f t="shared" ref="U48:U58" si="17">+H48*$D48</f>
        <v>5490000</v>
      </c>
      <c r="V48" s="12">
        <f t="shared" ref="V48:V59" si="18">+I48*$D48</f>
        <v>5010000</v>
      </c>
      <c r="W48" s="12">
        <f t="shared" ref="W48:W57" si="19">+J48*$D48</f>
        <v>0</v>
      </c>
      <c r="X48" s="12">
        <f t="shared" ref="X48:X57" si="20">+K48*$D48</f>
        <v>0</v>
      </c>
      <c r="Y48" s="12">
        <f t="shared" ref="Y48:Y57" si="21">+L48*$D48</f>
        <v>0</v>
      </c>
      <c r="Z48" s="12">
        <f t="shared" ref="Z48:Z57" si="22">+M48*$D48</f>
        <v>0</v>
      </c>
      <c r="AA48" s="12">
        <f t="shared" ref="AA48:AA57" si="23">+N48*$D48</f>
        <v>0</v>
      </c>
      <c r="AB48" s="12">
        <f t="shared" ref="AB48:AB57" si="24">+O48*$D48</f>
        <v>0</v>
      </c>
      <c r="AC48" s="12">
        <f t="shared" ref="AC48:AC57" si="25">+P48*$D48</f>
        <v>0</v>
      </c>
      <c r="AD48" s="12">
        <f t="shared" ref="AD48:AD57" si="26">+Q48*$D48</f>
        <v>0</v>
      </c>
    </row>
    <row r="49" spans="1:43" x14ac:dyDescent="0.2">
      <c r="A49" s="1" t="s">
        <v>95</v>
      </c>
      <c r="B49" s="42" t="s">
        <v>16</v>
      </c>
      <c r="C49" s="39">
        <v>27651</v>
      </c>
      <c r="D49" s="44">
        <v>33000</v>
      </c>
      <c r="E49" s="10"/>
      <c r="F49" s="46">
        <v>37073</v>
      </c>
      <c r="G49" s="46">
        <v>37134</v>
      </c>
      <c r="H49">
        <v>0</v>
      </c>
      <c r="I49" s="47">
        <f>+G49-"12/31/00"</f>
        <v>243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>
        <v>0</v>
      </c>
      <c r="P49">
        <v>0</v>
      </c>
      <c r="Q49">
        <v>0</v>
      </c>
      <c r="R49">
        <v>0</v>
      </c>
      <c r="U49" s="12">
        <f t="shared" si="17"/>
        <v>0</v>
      </c>
      <c r="V49" s="12">
        <f t="shared" si="18"/>
        <v>8019000</v>
      </c>
      <c r="W49" s="12">
        <f t="shared" si="19"/>
        <v>0</v>
      </c>
      <c r="X49" s="12">
        <f t="shared" si="20"/>
        <v>0</v>
      </c>
      <c r="Y49" s="12">
        <f t="shared" si="21"/>
        <v>0</v>
      </c>
      <c r="Z49" s="12">
        <f t="shared" si="22"/>
        <v>0</v>
      </c>
      <c r="AA49" s="12">
        <f t="shared" si="23"/>
        <v>0</v>
      </c>
      <c r="AB49" s="12">
        <f t="shared" si="24"/>
        <v>0</v>
      </c>
      <c r="AC49" s="12">
        <f t="shared" si="25"/>
        <v>0</v>
      </c>
      <c r="AD49" s="12">
        <f t="shared" si="26"/>
        <v>0</v>
      </c>
    </row>
    <row r="50" spans="1:43" x14ac:dyDescent="0.2">
      <c r="A50" s="1" t="s">
        <v>95</v>
      </c>
      <c r="B50" s="42" t="s">
        <v>21</v>
      </c>
      <c r="C50" s="39">
        <v>24654</v>
      </c>
      <c r="D50" s="44">
        <v>8000</v>
      </c>
      <c r="F50" s="45">
        <v>35400</v>
      </c>
      <c r="G50" s="46">
        <v>37256</v>
      </c>
      <c r="H50">
        <v>366</v>
      </c>
      <c r="I50">
        <v>365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U50" s="12">
        <f t="shared" si="17"/>
        <v>2928000</v>
      </c>
      <c r="V50" s="12">
        <f t="shared" si="18"/>
        <v>2920000</v>
      </c>
      <c r="W50" s="12">
        <f t="shared" si="19"/>
        <v>0</v>
      </c>
      <c r="X50" s="12">
        <f t="shared" si="20"/>
        <v>0</v>
      </c>
      <c r="Y50" s="12">
        <f t="shared" si="21"/>
        <v>0</v>
      </c>
      <c r="Z50" s="12">
        <f t="shared" si="22"/>
        <v>0</v>
      </c>
      <c r="AA50" s="12">
        <f t="shared" si="23"/>
        <v>0</v>
      </c>
      <c r="AB50" s="12">
        <f t="shared" si="24"/>
        <v>0</v>
      </c>
      <c r="AC50" s="12">
        <f t="shared" si="25"/>
        <v>0</v>
      </c>
      <c r="AD50" s="12">
        <f t="shared" si="26"/>
        <v>0</v>
      </c>
    </row>
    <row r="51" spans="1:43" x14ac:dyDescent="0.2">
      <c r="A51" s="1" t="s">
        <v>95</v>
      </c>
      <c r="B51" s="40" t="s">
        <v>21</v>
      </c>
      <c r="C51" s="38">
        <v>24924</v>
      </c>
      <c r="D51" s="44">
        <v>25000</v>
      </c>
      <c r="F51" s="45">
        <v>35309</v>
      </c>
      <c r="G51" s="45">
        <v>38017</v>
      </c>
      <c r="H51">
        <v>366</v>
      </c>
      <c r="I51">
        <v>365</v>
      </c>
      <c r="J51">
        <v>365</v>
      </c>
      <c r="K51">
        <v>365</v>
      </c>
      <c r="L51" s="47">
        <f>+G51-"12/31/03"</f>
        <v>31</v>
      </c>
      <c r="M51" s="47">
        <v>0</v>
      </c>
      <c r="N51" s="47">
        <v>0</v>
      </c>
      <c r="O51">
        <v>0</v>
      </c>
      <c r="P51">
        <v>0</v>
      </c>
      <c r="Q51">
        <v>0</v>
      </c>
      <c r="R51">
        <v>0</v>
      </c>
      <c r="U51" s="12">
        <f t="shared" si="17"/>
        <v>9150000</v>
      </c>
      <c r="V51" s="12">
        <f t="shared" si="18"/>
        <v>9125000</v>
      </c>
      <c r="W51" s="12">
        <f t="shared" si="19"/>
        <v>9125000</v>
      </c>
      <c r="X51" s="12">
        <f t="shared" si="20"/>
        <v>9125000</v>
      </c>
      <c r="Y51" s="12">
        <f t="shared" si="21"/>
        <v>775000</v>
      </c>
      <c r="Z51" s="12">
        <f t="shared" si="22"/>
        <v>0</v>
      </c>
      <c r="AA51" s="12">
        <f t="shared" si="23"/>
        <v>0</v>
      </c>
      <c r="AB51" s="12">
        <f t="shared" si="24"/>
        <v>0</v>
      </c>
      <c r="AC51" s="12">
        <f t="shared" si="25"/>
        <v>0</v>
      </c>
      <c r="AD51" s="12">
        <f t="shared" si="26"/>
        <v>0</v>
      </c>
    </row>
    <row r="52" spans="1:43" x14ac:dyDescent="0.2">
      <c r="A52" s="1" t="s">
        <v>95</v>
      </c>
      <c r="B52" s="40" t="s">
        <v>94</v>
      </c>
      <c r="C52" s="38">
        <v>24568</v>
      </c>
      <c r="D52" s="43">
        <v>32000</v>
      </c>
      <c r="F52" s="45">
        <v>35400</v>
      </c>
      <c r="G52" s="45">
        <v>37256</v>
      </c>
      <c r="H52">
        <v>366</v>
      </c>
      <c r="I52">
        <v>365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 s="12">
        <f t="shared" si="17"/>
        <v>11712000</v>
      </c>
      <c r="V52" s="12">
        <f t="shared" si="18"/>
        <v>11680000</v>
      </c>
      <c r="W52" s="12">
        <f t="shared" si="19"/>
        <v>0</v>
      </c>
      <c r="X52" s="12">
        <f t="shared" si="20"/>
        <v>0</v>
      </c>
      <c r="Y52" s="12">
        <f t="shared" si="21"/>
        <v>0</v>
      </c>
      <c r="Z52" s="12">
        <f t="shared" si="22"/>
        <v>0</v>
      </c>
      <c r="AA52" s="12">
        <f t="shared" si="23"/>
        <v>0</v>
      </c>
      <c r="AB52" s="12">
        <f t="shared" si="24"/>
        <v>0</v>
      </c>
      <c r="AC52" s="12">
        <f t="shared" si="25"/>
        <v>0</v>
      </c>
      <c r="AD52" s="12">
        <f t="shared" si="26"/>
        <v>0</v>
      </c>
    </row>
    <row r="53" spans="1:43" x14ac:dyDescent="0.2">
      <c r="A53" s="1" t="s">
        <v>95</v>
      </c>
      <c r="B53" s="42" t="s">
        <v>102</v>
      </c>
      <c r="C53" s="39">
        <v>24927</v>
      </c>
      <c r="D53" s="44">
        <v>30000</v>
      </c>
      <c r="F53" s="45">
        <v>35309</v>
      </c>
      <c r="G53" s="46">
        <v>38748</v>
      </c>
      <c r="H53">
        <v>366</v>
      </c>
      <c r="I53">
        <v>365</v>
      </c>
      <c r="J53" s="47">
        <v>365</v>
      </c>
      <c r="K53" s="47">
        <v>365</v>
      </c>
      <c r="L53" s="47">
        <v>366</v>
      </c>
      <c r="M53" s="47">
        <v>365</v>
      </c>
      <c r="N53" s="47">
        <f>+G53-"12/31/05"</f>
        <v>31</v>
      </c>
      <c r="O53">
        <v>0</v>
      </c>
      <c r="P53">
        <v>0</v>
      </c>
      <c r="Q53">
        <v>0</v>
      </c>
      <c r="R53">
        <v>0</v>
      </c>
      <c r="U53" s="12">
        <f t="shared" si="17"/>
        <v>10980000</v>
      </c>
      <c r="V53" s="12">
        <f t="shared" si="18"/>
        <v>10950000</v>
      </c>
      <c r="W53" s="12">
        <f t="shared" si="19"/>
        <v>10950000</v>
      </c>
      <c r="X53" s="12">
        <f t="shared" si="20"/>
        <v>10950000</v>
      </c>
      <c r="Y53" s="12">
        <f t="shared" si="21"/>
        <v>10980000</v>
      </c>
      <c r="Z53" s="12">
        <f t="shared" si="22"/>
        <v>10950000</v>
      </c>
      <c r="AA53" s="12">
        <f t="shared" si="23"/>
        <v>930000</v>
      </c>
      <c r="AB53" s="12">
        <f t="shared" si="24"/>
        <v>0</v>
      </c>
      <c r="AC53" s="12">
        <f t="shared" si="25"/>
        <v>0</v>
      </c>
      <c r="AD53" s="12">
        <f t="shared" si="26"/>
        <v>0</v>
      </c>
    </row>
    <row r="54" spans="1:43" x14ac:dyDescent="0.2">
      <c r="A54" s="1" t="s">
        <v>95</v>
      </c>
      <c r="B54" s="42" t="s">
        <v>98</v>
      </c>
      <c r="C54" s="39">
        <v>25397</v>
      </c>
      <c r="D54" s="44">
        <v>10000</v>
      </c>
      <c r="F54" s="46">
        <v>35886</v>
      </c>
      <c r="G54" s="46">
        <v>37711</v>
      </c>
      <c r="H54">
        <v>366</v>
      </c>
      <c r="I54" s="47">
        <v>365</v>
      </c>
      <c r="J54" s="47">
        <v>365</v>
      </c>
      <c r="K54" s="47">
        <f>+G54-"12/31/02"</f>
        <v>90</v>
      </c>
      <c r="L54" s="47">
        <v>0</v>
      </c>
      <c r="M54" s="47">
        <v>0</v>
      </c>
      <c r="N54" s="47">
        <v>0</v>
      </c>
      <c r="O54">
        <v>0</v>
      </c>
      <c r="P54">
        <v>0</v>
      </c>
      <c r="Q54">
        <v>0</v>
      </c>
      <c r="R54">
        <v>0</v>
      </c>
      <c r="U54" s="12">
        <f t="shared" si="17"/>
        <v>3660000</v>
      </c>
      <c r="V54" s="12">
        <f>+I54*$D54</f>
        <v>3650000</v>
      </c>
      <c r="W54" s="12">
        <f t="shared" si="19"/>
        <v>3650000</v>
      </c>
      <c r="X54" s="12">
        <f t="shared" si="20"/>
        <v>900000</v>
      </c>
      <c r="Y54" s="12">
        <f t="shared" si="21"/>
        <v>0</v>
      </c>
      <c r="Z54" s="12">
        <f t="shared" si="22"/>
        <v>0</v>
      </c>
      <c r="AA54" s="12">
        <f t="shared" si="23"/>
        <v>0</v>
      </c>
      <c r="AB54" s="12">
        <f t="shared" si="24"/>
        <v>0</v>
      </c>
      <c r="AC54" s="12">
        <f t="shared" si="25"/>
        <v>0</v>
      </c>
      <c r="AD54" s="12">
        <f t="shared" si="26"/>
        <v>0</v>
      </c>
    </row>
    <row r="55" spans="1:43" x14ac:dyDescent="0.2">
      <c r="A55" s="1" t="s">
        <v>95</v>
      </c>
      <c r="B55" s="42" t="s">
        <v>103</v>
      </c>
      <c r="C55" s="39">
        <v>27047</v>
      </c>
      <c r="D55" s="44">
        <v>125000</v>
      </c>
      <c r="F55" s="46">
        <v>36557</v>
      </c>
      <c r="G55" s="46">
        <v>38717</v>
      </c>
      <c r="H55" s="47">
        <f>"1/01/01"-F55</f>
        <v>335</v>
      </c>
      <c r="I55">
        <v>365</v>
      </c>
      <c r="J55" s="47">
        <v>365</v>
      </c>
      <c r="K55" s="47">
        <v>365</v>
      </c>
      <c r="L55" s="47">
        <v>366</v>
      </c>
      <c r="M55" s="47">
        <v>365</v>
      </c>
      <c r="N55" s="47">
        <v>0</v>
      </c>
      <c r="O55">
        <v>0</v>
      </c>
      <c r="P55">
        <v>0</v>
      </c>
      <c r="Q55">
        <v>0</v>
      </c>
      <c r="R55">
        <v>0</v>
      </c>
      <c r="U55" s="12">
        <f t="shared" si="17"/>
        <v>41875000</v>
      </c>
      <c r="V55" s="12">
        <f t="shared" si="18"/>
        <v>45625000</v>
      </c>
      <c r="W55" s="12">
        <f t="shared" si="19"/>
        <v>45625000</v>
      </c>
      <c r="X55" s="12">
        <f t="shared" si="20"/>
        <v>45625000</v>
      </c>
      <c r="Y55" s="12">
        <f t="shared" si="21"/>
        <v>45750000</v>
      </c>
      <c r="Z55" s="12">
        <f t="shared" si="22"/>
        <v>45625000</v>
      </c>
      <c r="AA55" s="12">
        <f t="shared" si="23"/>
        <v>0</v>
      </c>
      <c r="AB55" s="12">
        <f t="shared" si="24"/>
        <v>0</v>
      </c>
      <c r="AC55" s="12">
        <f t="shared" si="25"/>
        <v>0</v>
      </c>
      <c r="AD55" s="12">
        <f t="shared" si="26"/>
        <v>0</v>
      </c>
    </row>
    <row r="56" spans="1:43" x14ac:dyDescent="0.2">
      <c r="A56" s="1" t="s">
        <v>95</v>
      </c>
      <c r="B56" s="42" t="s">
        <v>100</v>
      </c>
      <c r="C56" s="39">
        <v>27342</v>
      </c>
      <c r="D56" s="44">
        <v>30000</v>
      </c>
      <c r="F56" s="46">
        <v>36892</v>
      </c>
      <c r="G56" s="46">
        <v>37256</v>
      </c>
      <c r="H56">
        <v>0</v>
      </c>
      <c r="I56" s="47">
        <v>365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>
        <v>0</v>
      </c>
      <c r="P56">
        <v>0</v>
      </c>
      <c r="Q56">
        <v>0</v>
      </c>
      <c r="R56">
        <v>0</v>
      </c>
      <c r="U56" s="12">
        <f t="shared" si="17"/>
        <v>0</v>
      </c>
      <c r="V56" s="12">
        <f t="shared" si="18"/>
        <v>10950000</v>
      </c>
      <c r="W56" s="12">
        <f t="shared" si="19"/>
        <v>0</v>
      </c>
      <c r="X56" s="12">
        <f t="shared" si="20"/>
        <v>0</v>
      </c>
      <c r="Y56" s="12">
        <f t="shared" si="21"/>
        <v>0</v>
      </c>
      <c r="Z56" s="12">
        <f t="shared" si="22"/>
        <v>0</v>
      </c>
      <c r="AA56" s="12">
        <f t="shared" si="23"/>
        <v>0</v>
      </c>
      <c r="AB56" s="12">
        <f t="shared" si="24"/>
        <v>0</v>
      </c>
      <c r="AC56" s="12">
        <f t="shared" si="25"/>
        <v>0</v>
      </c>
      <c r="AD56" s="12">
        <f t="shared" si="26"/>
        <v>0</v>
      </c>
    </row>
    <row r="57" spans="1:43" x14ac:dyDescent="0.2">
      <c r="A57" s="1" t="s">
        <v>95</v>
      </c>
      <c r="B57" s="42" t="s">
        <v>99</v>
      </c>
      <c r="C57" s="39">
        <v>26044</v>
      </c>
      <c r="D57" s="44">
        <v>85000</v>
      </c>
      <c r="F57" s="46">
        <v>35886</v>
      </c>
      <c r="G57" s="46">
        <v>37925</v>
      </c>
      <c r="H57">
        <v>366</v>
      </c>
      <c r="I57" s="47">
        <v>365</v>
      </c>
      <c r="J57" s="47">
        <v>365</v>
      </c>
      <c r="K57" s="47">
        <f>+G57-"12/31/02"</f>
        <v>304</v>
      </c>
      <c r="L57" s="47">
        <v>0</v>
      </c>
      <c r="M57" s="47">
        <v>0</v>
      </c>
      <c r="N57" s="47">
        <v>0</v>
      </c>
      <c r="O57">
        <v>0</v>
      </c>
      <c r="P57">
        <v>0</v>
      </c>
      <c r="Q57">
        <v>0</v>
      </c>
      <c r="R57">
        <v>0</v>
      </c>
      <c r="U57" s="12">
        <f t="shared" si="17"/>
        <v>31110000</v>
      </c>
      <c r="V57" s="12">
        <f t="shared" si="18"/>
        <v>31025000</v>
      </c>
      <c r="W57" s="12">
        <f t="shared" si="19"/>
        <v>31025000</v>
      </c>
      <c r="X57" s="12">
        <f t="shared" si="20"/>
        <v>25840000</v>
      </c>
      <c r="Y57" s="12">
        <f t="shared" si="21"/>
        <v>0</v>
      </c>
      <c r="Z57" s="12">
        <f t="shared" si="22"/>
        <v>0</v>
      </c>
      <c r="AA57" s="12">
        <f t="shared" si="23"/>
        <v>0</v>
      </c>
      <c r="AB57" s="12">
        <f t="shared" si="24"/>
        <v>0</v>
      </c>
      <c r="AC57" s="12">
        <f t="shared" si="25"/>
        <v>0</v>
      </c>
      <c r="AD57" s="12">
        <f t="shared" si="26"/>
        <v>0</v>
      </c>
    </row>
    <row r="58" spans="1:43" x14ac:dyDescent="0.2">
      <c r="A58" s="1" t="s">
        <v>95</v>
      </c>
      <c r="B58" s="42" t="s">
        <v>99</v>
      </c>
      <c r="C58" s="39">
        <v>26436</v>
      </c>
      <c r="D58" s="44">
        <v>59000</v>
      </c>
      <c r="F58" s="46">
        <v>36100</v>
      </c>
      <c r="G58" s="46">
        <v>37925</v>
      </c>
      <c r="H58">
        <v>366</v>
      </c>
      <c r="I58" s="47">
        <v>365</v>
      </c>
      <c r="J58" s="47">
        <v>365</v>
      </c>
      <c r="K58" s="47">
        <f>+G58-"12/31/02"</f>
        <v>304</v>
      </c>
      <c r="L58" s="47">
        <v>0</v>
      </c>
      <c r="M58" s="47">
        <v>0</v>
      </c>
      <c r="N58" s="47">
        <v>0</v>
      </c>
      <c r="O58">
        <v>0</v>
      </c>
      <c r="P58">
        <v>0</v>
      </c>
      <c r="Q58">
        <v>0</v>
      </c>
      <c r="R58">
        <v>0</v>
      </c>
      <c r="U58" s="12">
        <f t="shared" si="17"/>
        <v>21594000</v>
      </c>
      <c r="V58" s="12">
        <f t="shared" si="18"/>
        <v>21535000</v>
      </c>
      <c r="W58" s="12">
        <f t="shared" ref="W58:AD59" si="27">+J58*$D58</f>
        <v>21535000</v>
      </c>
      <c r="X58" s="12">
        <f t="shared" si="27"/>
        <v>17936000</v>
      </c>
      <c r="Y58" s="12">
        <f t="shared" si="27"/>
        <v>0</v>
      </c>
      <c r="Z58" s="12">
        <f t="shared" si="27"/>
        <v>0</v>
      </c>
      <c r="AA58" s="12">
        <f t="shared" si="27"/>
        <v>0</v>
      </c>
      <c r="AB58" s="12">
        <f t="shared" si="27"/>
        <v>0</v>
      </c>
      <c r="AC58" s="12">
        <f t="shared" si="27"/>
        <v>0</v>
      </c>
      <c r="AD58" s="12">
        <f t="shared" si="27"/>
        <v>0</v>
      </c>
    </row>
    <row r="59" spans="1:43" x14ac:dyDescent="0.2">
      <c r="A59" s="1" t="s">
        <v>95</v>
      </c>
      <c r="B59" s="42" t="s">
        <v>101</v>
      </c>
      <c r="C59" s="39">
        <v>24669</v>
      </c>
      <c r="D59" s="44">
        <v>12500</v>
      </c>
      <c r="F59" s="45">
        <v>35309</v>
      </c>
      <c r="G59" s="46">
        <v>38748</v>
      </c>
      <c r="H59">
        <v>366</v>
      </c>
      <c r="I59" s="47">
        <v>365</v>
      </c>
      <c r="J59" s="47">
        <v>365</v>
      </c>
      <c r="K59" s="47">
        <v>365</v>
      </c>
      <c r="L59" s="47">
        <v>366</v>
      </c>
      <c r="M59" s="47">
        <v>365</v>
      </c>
      <c r="N59" s="47">
        <f>+G59-"12/31/05"</f>
        <v>31</v>
      </c>
      <c r="O59">
        <v>0</v>
      </c>
      <c r="P59">
        <v>0</v>
      </c>
      <c r="Q59">
        <v>0</v>
      </c>
      <c r="R59">
        <v>0</v>
      </c>
      <c r="U59" s="12">
        <f>+H59*$D59</f>
        <v>4575000</v>
      </c>
      <c r="V59" s="12">
        <f t="shared" si="18"/>
        <v>4562500</v>
      </c>
      <c r="W59" s="12">
        <f t="shared" si="27"/>
        <v>4562500</v>
      </c>
      <c r="X59" s="12">
        <f t="shared" si="27"/>
        <v>4562500</v>
      </c>
      <c r="Y59" s="12">
        <f t="shared" si="27"/>
        <v>4575000</v>
      </c>
      <c r="Z59" s="12">
        <f t="shared" si="27"/>
        <v>4562500</v>
      </c>
      <c r="AA59" s="12">
        <f t="shared" si="27"/>
        <v>387500</v>
      </c>
      <c r="AB59" s="12">
        <f t="shared" si="27"/>
        <v>0</v>
      </c>
      <c r="AC59" s="12">
        <f t="shared" si="27"/>
        <v>0</v>
      </c>
      <c r="AD59" s="12">
        <f t="shared" si="27"/>
        <v>0</v>
      </c>
    </row>
    <row r="60" spans="1:43" x14ac:dyDescent="0.2">
      <c r="A60" s="1" t="s">
        <v>95</v>
      </c>
      <c r="B60" s="42" t="s">
        <v>104</v>
      </c>
      <c r="C60" s="39">
        <v>27344</v>
      </c>
      <c r="D60" s="44">
        <v>13500</v>
      </c>
      <c r="F60" s="46">
        <v>36892</v>
      </c>
      <c r="G60" s="46">
        <v>37621</v>
      </c>
      <c r="H60" s="47">
        <v>0</v>
      </c>
      <c r="I60">
        <v>365</v>
      </c>
      <c r="J60" s="47">
        <v>365</v>
      </c>
      <c r="K60" s="47">
        <v>0</v>
      </c>
      <c r="L60" s="47">
        <v>0</v>
      </c>
      <c r="M60" s="47">
        <v>0</v>
      </c>
      <c r="N60" s="47">
        <v>0</v>
      </c>
      <c r="O60">
        <v>0</v>
      </c>
      <c r="P60">
        <v>0</v>
      </c>
      <c r="Q60">
        <v>0</v>
      </c>
      <c r="R60">
        <v>0</v>
      </c>
      <c r="U60" s="12">
        <f t="shared" ref="U60:U65" si="28">+H60*$D60</f>
        <v>0</v>
      </c>
      <c r="V60" s="12">
        <f t="shared" ref="V60:V65" si="29">+I60*$D60</f>
        <v>4927500</v>
      </c>
      <c r="W60" s="12">
        <f t="shared" ref="W60:W65" si="30">+J60*$D60</f>
        <v>4927500</v>
      </c>
      <c r="X60" s="12">
        <f t="shared" ref="X60:X65" si="31">+K60*$D60</f>
        <v>0</v>
      </c>
      <c r="Y60" s="12">
        <f t="shared" ref="Y60:Y65" si="32">+L60*$D60</f>
        <v>0</v>
      </c>
      <c r="Z60" s="12">
        <f t="shared" ref="Z60:AA64" si="33">+M60*$D60</f>
        <v>0</v>
      </c>
      <c r="AA60" s="12">
        <f t="shared" si="33"/>
        <v>0</v>
      </c>
      <c r="AB60" s="12">
        <f t="shared" ref="AB60:AB65" si="34">+O60*$D60</f>
        <v>0</v>
      </c>
      <c r="AC60" s="12">
        <f t="shared" ref="AC60:AC65" si="35">+P60*$D60</f>
        <v>0</v>
      </c>
      <c r="AD60" s="12">
        <f t="shared" ref="AD60:AD65" si="36">+Q60*$D60</f>
        <v>0</v>
      </c>
    </row>
    <row r="61" spans="1:43" x14ac:dyDescent="0.2">
      <c r="A61" s="1" t="s">
        <v>95</v>
      </c>
      <c r="B61" s="42" t="s">
        <v>97</v>
      </c>
      <c r="C61" s="39">
        <v>24925</v>
      </c>
      <c r="D61" s="44">
        <v>100000</v>
      </c>
      <c r="F61" s="45">
        <v>35309</v>
      </c>
      <c r="G61" s="46">
        <v>38017</v>
      </c>
      <c r="H61">
        <v>366</v>
      </c>
      <c r="I61">
        <v>365</v>
      </c>
      <c r="J61">
        <v>365</v>
      </c>
      <c r="K61">
        <v>365</v>
      </c>
      <c r="L61" s="47">
        <f>+G61-"12/31/03"</f>
        <v>31</v>
      </c>
      <c r="M61" s="47">
        <v>0</v>
      </c>
      <c r="N61" s="47">
        <v>0</v>
      </c>
      <c r="O61">
        <v>0</v>
      </c>
      <c r="P61">
        <v>0</v>
      </c>
      <c r="Q61">
        <v>0</v>
      </c>
      <c r="R61">
        <v>0</v>
      </c>
      <c r="U61" s="12">
        <f t="shared" si="28"/>
        <v>36600000</v>
      </c>
      <c r="V61" s="12">
        <f t="shared" si="29"/>
        <v>36500000</v>
      </c>
      <c r="W61" s="12">
        <f t="shared" si="30"/>
        <v>36500000</v>
      </c>
      <c r="X61" s="12">
        <f t="shared" si="31"/>
        <v>36500000</v>
      </c>
      <c r="Y61" s="12">
        <f t="shared" si="32"/>
        <v>3100000</v>
      </c>
      <c r="Z61" s="12">
        <f t="shared" si="33"/>
        <v>0</v>
      </c>
      <c r="AA61" s="12">
        <f t="shared" si="33"/>
        <v>0</v>
      </c>
      <c r="AB61" s="12">
        <f t="shared" si="34"/>
        <v>0</v>
      </c>
      <c r="AC61" s="12">
        <f t="shared" si="35"/>
        <v>0</v>
      </c>
      <c r="AD61" s="12">
        <f t="shared" si="36"/>
        <v>0</v>
      </c>
    </row>
    <row r="62" spans="1:43" x14ac:dyDescent="0.2">
      <c r="A62" s="1" t="s">
        <v>0</v>
      </c>
      <c r="B62" s="10" t="s">
        <v>50</v>
      </c>
      <c r="C62">
        <v>25071</v>
      </c>
      <c r="D62">
        <v>90000</v>
      </c>
      <c r="E62" s="2" t="s">
        <v>13</v>
      </c>
      <c r="F62" s="27">
        <v>36525</v>
      </c>
      <c r="G62" s="11">
        <v>39782</v>
      </c>
      <c r="H62" s="12">
        <v>366</v>
      </c>
      <c r="I62" s="12">
        <v>365</v>
      </c>
      <c r="J62" s="12">
        <v>365</v>
      </c>
      <c r="K62" s="12">
        <v>365</v>
      </c>
      <c r="L62" s="12">
        <v>366</v>
      </c>
      <c r="M62" s="12">
        <v>365</v>
      </c>
      <c r="N62" s="12">
        <v>365</v>
      </c>
      <c r="O62" s="12">
        <v>365</v>
      </c>
      <c r="P62" s="12">
        <f>G62-"12/31/07"</f>
        <v>335</v>
      </c>
      <c r="Q62" s="12">
        <v>0</v>
      </c>
      <c r="R62" s="12">
        <v>0</v>
      </c>
      <c r="S62" s="12">
        <f t="shared" ref="S62:S94" si="37">+G62-F62</f>
        <v>3257</v>
      </c>
      <c r="T62" s="12">
        <f t="shared" ref="T62:T94" si="38">SUM(H62:R62)</f>
        <v>3257</v>
      </c>
      <c r="U62" s="12">
        <f t="shared" si="28"/>
        <v>32940000</v>
      </c>
      <c r="V62" s="12">
        <f t="shared" si="29"/>
        <v>32850000</v>
      </c>
      <c r="W62" s="12">
        <f t="shared" si="30"/>
        <v>32850000</v>
      </c>
      <c r="X62" s="12">
        <f t="shared" si="31"/>
        <v>32850000</v>
      </c>
      <c r="Y62" s="12">
        <f t="shared" si="32"/>
        <v>32940000</v>
      </c>
      <c r="Z62" s="12">
        <f t="shared" si="33"/>
        <v>32850000</v>
      </c>
      <c r="AA62" s="12">
        <f t="shared" si="33"/>
        <v>32850000</v>
      </c>
      <c r="AB62" s="12">
        <f t="shared" si="34"/>
        <v>32850000</v>
      </c>
      <c r="AC62" s="12">
        <f t="shared" si="35"/>
        <v>30150000</v>
      </c>
      <c r="AD62" s="12">
        <f t="shared" si="36"/>
        <v>0</v>
      </c>
      <c r="AE62" s="12">
        <f t="shared" ref="AE62:AE74" si="39">+R62*$D62</f>
        <v>0</v>
      </c>
      <c r="AG62" s="13">
        <f>+U62*'CSF Rates'!C$12</f>
        <v>3407642.9999999995</v>
      </c>
      <c r="AH62" s="13">
        <f>+V62*'CSF Rates'!D$12</f>
        <v>3467898.0000000005</v>
      </c>
      <c r="AI62" s="13">
        <f>+W62*'CSF Rates'!E$12</f>
        <v>3540168</v>
      </c>
      <c r="AJ62" s="13">
        <f>+X62*'CSF Rates'!F$12</f>
        <v>3612438.0000000005</v>
      </c>
      <c r="AK62" s="13">
        <f>+Y62*'CSF Rates'!G$12</f>
        <v>3695318.9999999995</v>
      </c>
      <c r="AL62" s="13">
        <f>+Z62*'CSF Rates'!H$12</f>
        <v>3760812</v>
      </c>
      <c r="AM62" s="13">
        <f>+AA62*'CSF Rates'!I$12</f>
        <v>3836916.0000000005</v>
      </c>
      <c r="AN62" s="13">
        <f>+AB62*'CSF Rates'!J$12</f>
        <v>3915756</v>
      </c>
      <c r="AO62" s="13">
        <f>+AC62*'CSF Rates'!K$12</f>
        <v>3654180</v>
      </c>
      <c r="AP62" s="13">
        <f>+AD62*'CSF Rates'!L$12</f>
        <v>0</v>
      </c>
      <c r="AQ62" s="13">
        <f>+AE62*'CSF Rates'!M$12</f>
        <v>0</v>
      </c>
    </row>
    <row r="63" spans="1:43" x14ac:dyDescent="0.2">
      <c r="A63" s="1" t="s">
        <v>0</v>
      </c>
      <c r="B63" s="10" t="s">
        <v>50</v>
      </c>
      <c r="C63">
        <v>25700</v>
      </c>
      <c r="D63">
        <v>25000</v>
      </c>
      <c r="E63" s="2" t="s">
        <v>13</v>
      </c>
      <c r="F63" s="27">
        <v>36525</v>
      </c>
      <c r="G63" s="11">
        <v>37621</v>
      </c>
      <c r="H63" s="12">
        <v>366</v>
      </c>
      <c r="I63" s="12">
        <v>365</v>
      </c>
      <c r="J63" s="12">
        <v>365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f t="shared" si="37"/>
        <v>1096</v>
      </c>
      <c r="T63" s="12">
        <f t="shared" si="38"/>
        <v>1096</v>
      </c>
      <c r="U63" s="12">
        <f t="shared" si="28"/>
        <v>9150000</v>
      </c>
      <c r="V63" s="12">
        <f t="shared" si="29"/>
        <v>9125000</v>
      </c>
      <c r="W63" s="12">
        <f t="shared" si="30"/>
        <v>9125000</v>
      </c>
      <c r="X63" s="12">
        <f t="shared" si="31"/>
        <v>0</v>
      </c>
      <c r="Y63" s="12">
        <f t="shared" si="32"/>
        <v>0</v>
      </c>
      <c r="Z63" s="12">
        <f t="shared" si="33"/>
        <v>0</v>
      </c>
      <c r="AA63" s="12">
        <f t="shared" si="33"/>
        <v>0</v>
      </c>
      <c r="AB63" s="12">
        <f t="shared" si="34"/>
        <v>0</v>
      </c>
      <c r="AC63" s="12">
        <f t="shared" si="35"/>
        <v>0</v>
      </c>
      <c r="AD63" s="12">
        <f t="shared" si="36"/>
        <v>0</v>
      </c>
      <c r="AE63" s="12">
        <f t="shared" si="39"/>
        <v>0</v>
      </c>
      <c r="AG63" s="13">
        <f>+U63*'CSF Rates'!C$12</f>
        <v>946567.49999999988</v>
      </c>
      <c r="AH63" s="13">
        <f>+V63*'CSF Rates'!D$12</f>
        <v>963305.00000000012</v>
      </c>
      <c r="AI63" s="13">
        <f>+W63*'CSF Rates'!E$12</f>
        <v>983380</v>
      </c>
      <c r="AJ63" s="13">
        <f>+X63*'CSF Rates'!F$12</f>
        <v>0</v>
      </c>
      <c r="AK63" s="13">
        <f>+Y63*'CSF Rates'!G$12</f>
        <v>0</v>
      </c>
      <c r="AL63" s="13">
        <f>+Z63*'CSF Rates'!H$12</f>
        <v>0</v>
      </c>
      <c r="AM63" s="13">
        <f>+AA63*'CSF Rates'!I$12</f>
        <v>0</v>
      </c>
      <c r="AN63" s="13">
        <f>+AB63*'CSF Rates'!J$12</f>
        <v>0</v>
      </c>
      <c r="AO63" s="13">
        <f>+AC63*'CSF Rates'!K$12</f>
        <v>0</v>
      </c>
      <c r="AP63" s="13">
        <f>+AD63*'CSF Rates'!L$12</f>
        <v>0</v>
      </c>
      <c r="AQ63" s="13">
        <f>+AE63*'CSF Rates'!M$12</f>
        <v>0</v>
      </c>
    </row>
    <row r="64" spans="1:43" x14ac:dyDescent="0.2">
      <c r="A64" s="1" t="s">
        <v>0</v>
      </c>
      <c r="B64" s="24" t="s">
        <v>52</v>
      </c>
      <c r="C64">
        <v>24735</v>
      </c>
      <c r="D64">
        <v>4000</v>
      </c>
      <c r="E64" s="2" t="s">
        <v>13</v>
      </c>
      <c r="F64" s="27">
        <v>36525</v>
      </c>
      <c r="G64" s="11">
        <v>36616</v>
      </c>
      <c r="H64" s="12">
        <f>G64-"12/31/99"</f>
        <v>91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f t="shared" si="37"/>
        <v>91</v>
      </c>
      <c r="T64" s="12">
        <f t="shared" si="38"/>
        <v>91</v>
      </c>
      <c r="U64" s="12">
        <f t="shared" si="28"/>
        <v>364000</v>
      </c>
      <c r="V64" s="12">
        <f t="shared" si="29"/>
        <v>0</v>
      </c>
      <c r="W64" s="12">
        <f t="shared" si="30"/>
        <v>0</v>
      </c>
      <c r="X64" s="12">
        <f t="shared" si="31"/>
        <v>0</v>
      </c>
      <c r="Y64" s="12">
        <f t="shared" si="32"/>
        <v>0</v>
      </c>
      <c r="Z64" s="12">
        <f t="shared" si="33"/>
        <v>0</v>
      </c>
      <c r="AA64" s="12">
        <f t="shared" si="33"/>
        <v>0</v>
      </c>
      <c r="AB64" s="12">
        <f t="shared" si="34"/>
        <v>0</v>
      </c>
      <c r="AC64" s="12">
        <f t="shared" si="35"/>
        <v>0</v>
      </c>
      <c r="AD64" s="12">
        <f t="shared" si="36"/>
        <v>0</v>
      </c>
      <c r="AE64" s="12">
        <f t="shared" si="39"/>
        <v>0</v>
      </c>
      <c r="AG64" s="13">
        <f>+U64*'CSF Rates'!C$12</f>
        <v>37655.799999999996</v>
      </c>
      <c r="AH64" s="13">
        <f>+V64*'CSF Rates'!D$12</f>
        <v>0</v>
      </c>
      <c r="AI64" s="13">
        <f>+W64*'CSF Rates'!E$12</f>
        <v>0</v>
      </c>
      <c r="AJ64" s="13">
        <f>+X64*'CSF Rates'!F$12</f>
        <v>0</v>
      </c>
      <c r="AK64" s="13">
        <f>+Y64*'CSF Rates'!G$12</f>
        <v>0</v>
      </c>
      <c r="AL64" s="13">
        <f>+Z64*'CSF Rates'!H$12</f>
        <v>0</v>
      </c>
      <c r="AM64" s="13">
        <f>+AA64*'CSF Rates'!I$12</f>
        <v>0</v>
      </c>
      <c r="AN64" s="13">
        <f>+AB64*'CSF Rates'!J$12</f>
        <v>0</v>
      </c>
      <c r="AO64" s="13">
        <f>+AC64*'CSF Rates'!K$12</f>
        <v>0</v>
      </c>
      <c r="AP64" s="13">
        <f>+AD64*'CSF Rates'!L$12</f>
        <v>0</v>
      </c>
      <c r="AQ64" s="13">
        <f>+AE64*'CSF Rates'!M$12</f>
        <v>0</v>
      </c>
    </row>
    <row r="65" spans="1:43" x14ac:dyDescent="0.2">
      <c r="A65" s="1" t="s">
        <v>0</v>
      </c>
      <c r="B65" s="10" t="s">
        <v>16</v>
      </c>
      <c r="C65">
        <v>25025</v>
      </c>
      <c r="D65">
        <v>80000</v>
      </c>
      <c r="E65" s="2" t="s">
        <v>13</v>
      </c>
      <c r="F65" s="27">
        <v>36525</v>
      </c>
      <c r="G65" s="11">
        <v>39051</v>
      </c>
      <c r="H65" s="12">
        <v>366</v>
      </c>
      <c r="I65" s="12">
        <v>365</v>
      </c>
      <c r="J65" s="12">
        <v>365</v>
      </c>
      <c r="K65" s="12">
        <v>365</v>
      </c>
      <c r="L65" s="12">
        <v>366</v>
      </c>
      <c r="M65" s="12">
        <v>365</v>
      </c>
      <c r="N65" s="12">
        <f>G65-"12/31/05"</f>
        <v>334</v>
      </c>
      <c r="O65" s="12">
        <v>0</v>
      </c>
      <c r="P65" s="12">
        <v>0</v>
      </c>
      <c r="Q65" s="12">
        <v>0</v>
      </c>
      <c r="R65" s="12">
        <v>0</v>
      </c>
      <c r="S65" s="12">
        <f t="shared" si="37"/>
        <v>2526</v>
      </c>
      <c r="T65" s="12">
        <f t="shared" si="38"/>
        <v>2526</v>
      </c>
      <c r="U65" s="12">
        <f t="shared" si="28"/>
        <v>29280000</v>
      </c>
      <c r="V65" s="12">
        <f t="shared" si="29"/>
        <v>29200000</v>
      </c>
      <c r="W65" s="12">
        <f t="shared" si="30"/>
        <v>29200000</v>
      </c>
      <c r="X65" s="12">
        <f t="shared" si="31"/>
        <v>29200000</v>
      </c>
      <c r="Y65" s="12">
        <f t="shared" si="32"/>
        <v>29280000</v>
      </c>
      <c r="Z65" s="12">
        <f>+M65*($D65-20000)</f>
        <v>21900000</v>
      </c>
      <c r="AA65" s="12">
        <f>+N65*($D65-20000)</f>
        <v>20040000</v>
      </c>
      <c r="AB65" s="12">
        <f t="shared" si="34"/>
        <v>0</v>
      </c>
      <c r="AC65" s="12">
        <f t="shared" si="35"/>
        <v>0</v>
      </c>
      <c r="AD65" s="12">
        <f t="shared" si="36"/>
        <v>0</v>
      </c>
      <c r="AE65" s="12">
        <f t="shared" si="39"/>
        <v>0</v>
      </c>
      <c r="AG65" s="13">
        <f>+U65*'CSF Rates'!C$12</f>
        <v>3029015.9999999995</v>
      </c>
      <c r="AH65" s="13">
        <f>+V65*'CSF Rates'!D$12</f>
        <v>3082576</v>
      </c>
      <c r="AI65" s="13">
        <f>+W65*'CSF Rates'!E$12</f>
        <v>3146816</v>
      </c>
      <c r="AJ65" s="13">
        <f>+X65*'CSF Rates'!F$12</f>
        <v>3211056.0000000005</v>
      </c>
      <c r="AK65" s="13">
        <f>+Y65*'CSF Rates'!G$12</f>
        <v>3284727.9999999995</v>
      </c>
      <c r="AL65" s="13">
        <f>+Z65*'CSF Rates'!H$12</f>
        <v>2507208</v>
      </c>
      <c r="AM65" s="13">
        <f>+AA65*'CSF Rates'!I$12</f>
        <v>2340693.961643836</v>
      </c>
      <c r="AN65" s="13">
        <f>+AB65*'CSF Rates'!J$12</f>
        <v>0</v>
      </c>
      <c r="AO65" s="13">
        <f>+AC65*'CSF Rates'!K$12</f>
        <v>0</v>
      </c>
      <c r="AP65" s="13">
        <f>+AD65*'CSF Rates'!L$12</f>
        <v>0</v>
      </c>
      <c r="AQ65" s="13">
        <f>+AE65*'CSF Rates'!M$12</f>
        <v>0</v>
      </c>
    </row>
    <row r="66" spans="1:43" x14ac:dyDescent="0.2">
      <c r="A66" s="1" t="s">
        <v>0</v>
      </c>
      <c r="B66" s="24" t="s">
        <v>51</v>
      </c>
      <c r="C66">
        <v>24216</v>
      </c>
      <c r="D66">
        <v>55000</v>
      </c>
      <c r="E66" s="2" t="s">
        <v>13</v>
      </c>
      <c r="F66" s="27">
        <v>36525</v>
      </c>
      <c r="G66" s="11">
        <v>36585</v>
      </c>
      <c r="H66" s="12">
        <f>G66-"12/31/99"</f>
        <v>60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f t="shared" si="37"/>
        <v>60</v>
      </c>
      <c r="T66" s="12">
        <f t="shared" si="38"/>
        <v>60</v>
      </c>
      <c r="U66" s="12">
        <f t="shared" ref="U66:U74" si="40">+H66*$D66</f>
        <v>3300000</v>
      </c>
      <c r="V66" s="12">
        <f t="shared" ref="V66:V74" si="41">+I66*$D66</f>
        <v>0</v>
      </c>
      <c r="W66" s="12">
        <f t="shared" ref="W66:W74" si="42">+J66*$D66</f>
        <v>0</v>
      </c>
      <c r="X66" s="12">
        <f t="shared" ref="X66:X74" si="43">+K66*$D66</f>
        <v>0</v>
      </c>
      <c r="Y66" s="12">
        <f t="shared" ref="Y66:Y74" si="44">+L66*$D66</f>
        <v>0</v>
      </c>
      <c r="Z66" s="12">
        <f t="shared" ref="Z66:Z74" si="45">+M66*$D66</f>
        <v>0</v>
      </c>
      <c r="AA66" s="12">
        <f t="shared" ref="AA66:AA74" si="46">+N66*$D66</f>
        <v>0</v>
      </c>
      <c r="AB66" s="12">
        <f t="shared" ref="AB66:AB74" si="47">+O66*$D66</f>
        <v>0</v>
      </c>
      <c r="AC66" s="12">
        <f t="shared" ref="AC66:AC74" si="48">+P66*$D66</f>
        <v>0</v>
      </c>
      <c r="AD66" s="12">
        <f t="shared" ref="AD66:AD74" si="49">+Q66*$D66</f>
        <v>0</v>
      </c>
      <c r="AE66" s="12">
        <f t="shared" si="39"/>
        <v>0</v>
      </c>
      <c r="AG66" s="13">
        <f>+U66*'CSF Rates'!C$12</f>
        <v>341384.99999999994</v>
      </c>
      <c r="AH66" s="13">
        <f>+V66*'CSF Rates'!D$12</f>
        <v>0</v>
      </c>
      <c r="AI66" s="13">
        <f>+W66*'CSF Rates'!E$12</f>
        <v>0</v>
      </c>
      <c r="AJ66" s="13">
        <f>+X66*'CSF Rates'!F$12</f>
        <v>0</v>
      </c>
      <c r="AK66" s="13">
        <f>+Y66*'CSF Rates'!G$12</f>
        <v>0</v>
      </c>
      <c r="AL66" s="13">
        <f>+Z66*'CSF Rates'!H$12</f>
        <v>0</v>
      </c>
      <c r="AM66" s="13">
        <f>+AA66*'CSF Rates'!I$12</f>
        <v>0</v>
      </c>
      <c r="AN66" s="13">
        <f>+AB66*'CSF Rates'!J$12</f>
        <v>0</v>
      </c>
      <c r="AO66" s="13">
        <f>+AC66*'CSF Rates'!K$12</f>
        <v>0</v>
      </c>
      <c r="AP66" s="13">
        <f>+AD66*'CSF Rates'!L$12</f>
        <v>0</v>
      </c>
      <c r="AQ66" s="13">
        <f>+AE66*'CSF Rates'!M$12</f>
        <v>0</v>
      </c>
    </row>
    <row r="67" spans="1:43" x14ac:dyDescent="0.2">
      <c r="A67" s="1" t="s">
        <v>0</v>
      </c>
      <c r="B67" s="10" t="s">
        <v>59</v>
      </c>
      <c r="C67">
        <v>27458</v>
      </c>
      <c r="D67">
        <v>14000</v>
      </c>
      <c r="E67" s="2" t="s">
        <v>13</v>
      </c>
      <c r="F67" s="27">
        <v>37621</v>
      </c>
      <c r="G67" s="11">
        <v>38717</v>
      </c>
      <c r="H67" s="12">
        <v>0</v>
      </c>
      <c r="I67" s="12">
        <v>0</v>
      </c>
      <c r="J67" s="12">
        <v>0</v>
      </c>
      <c r="K67" s="12">
        <v>365</v>
      </c>
      <c r="L67" s="12">
        <v>366</v>
      </c>
      <c r="M67" s="14">
        <f>+G67-"12/31/04"</f>
        <v>365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f t="shared" si="37"/>
        <v>1096</v>
      </c>
      <c r="T67" s="12">
        <f t="shared" si="38"/>
        <v>1096</v>
      </c>
      <c r="U67" s="12">
        <f t="shared" si="40"/>
        <v>0</v>
      </c>
      <c r="V67" s="12">
        <f t="shared" si="41"/>
        <v>0</v>
      </c>
      <c r="W67" s="12">
        <f t="shared" si="42"/>
        <v>0</v>
      </c>
      <c r="X67" s="12">
        <f t="shared" si="43"/>
        <v>5110000</v>
      </c>
      <c r="Y67" s="12">
        <f t="shared" si="44"/>
        <v>5124000</v>
      </c>
      <c r="Z67" s="12">
        <f t="shared" si="45"/>
        <v>5110000</v>
      </c>
      <c r="AA67" s="12">
        <f t="shared" si="46"/>
        <v>0</v>
      </c>
      <c r="AB67" s="12">
        <f t="shared" si="47"/>
        <v>0</v>
      </c>
      <c r="AC67" s="12">
        <f t="shared" si="48"/>
        <v>0</v>
      </c>
      <c r="AD67" s="12">
        <f t="shared" si="49"/>
        <v>0</v>
      </c>
      <c r="AE67" s="12">
        <f t="shared" si="39"/>
        <v>0</v>
      </c>
      <c r="AG67" s="13">
        <f>+U67*'CSF Rates'!C$12</f>
        <v>0</v>
      </c>
      <c r="AH67" s="13">
        <f>+V67*'CSF Rates'!D$12</f>
        <v>0</v>
      </c>
      <c r="AI67" s="13">
        <f>+W67*'CSF Rates'!E$12</f>
        <v>0</v>
      </c>
      <c r="AJ67" s="13">
        <f>+X67*'CSF Rates'!F$12</f>
        <v>561934.80000000005</v>
      </c>
      <c r="AK67" s="13">
        <f>+Y67*'CSF Rates'!G$12</f>
        <v>574827.39999999991</v>
      </c>
      <c r="AL67" s="13">
        <f>+Z67*'CSF Rates'!H$12</f>
        <v>585015.19999999995</v>
      </c>
      <c r="AM67" s="13">
        <f>+AA67*'CSF Rates'!I$12</f>
        <v>0</v>
      </c>
      <c r="AN67" s="13">
        <f>+AB67*'CSF Rates'!J$12</f>
        <v>0</v>
      </c>
      <c r="AO67" s="13">
        <f>+AC67*'CSF Rates'!K$12</f>
        <v>0</v>
      </c>
      <c r="AP67" s="13">
        <f>+AD67*'CSF Rates'!L$12</f>
        <v>0</v>
      </c>
      <c r="AQ67" s="13">
        <f>+AE67*'CSF Rates'!M$12</f>
        <v>0</v>
      </c>
    </row>
    <row r="68" spans="1:43" x14ac:dyDescent="0.2">
      <c r="A68" s="1" t="s">
        <v>0</v>
      </c>
      <c r="B68" s="10" t="s">
        <v>17</v>
      </c>
      <c r="C68">
        <v>26519</v>
      </c>
      <c r="D68">
        <v>25000</v>
      </c>
      <c r="E68" s="2" t="s">
        <v>13</v>
      </c>
      <c r="F68" s="27">
        <v>36525</v>
      </c>
      <c r="G68" s="11">
        <v>39141</v>
      </c>
      <c r="H68" s="12">
        <v>366</v>
      </c>
      <c r="I68" s="12">
        <v>365</v>
      </c>
      <c r="J68" s="12">
        <v>365</v>
      </c>
      <c r="K68" s="12">
        <v>365</v>
      </c>
      <c r="L68" s="12">
        <v>366</v>
      </c>
      <c r="M68" s="12">
        <v>365</v>
      </c>
      <c r="N68" s="12">
        <v>365</v>
      </c>
      <c r="O68" s="12">
        <f>G68-"12/31/06"</f>
        <v>59</v>
      </c>
      <c r="P68" s="12">
        <v>0</v>
      </c>
      <c r="Q68" s="12">
        <v>0</v>
      </c>
      <c r="R68" s="12">
        <v>0</v>
      </c>
      <c r="S68" s="12">
        <f t="shared" si="37"/>
        <v>2616</v>
      </c>
      <c r="T68" s="12">
        <f t="shared" si="38"/>
        <v>2616</v>
      </c>
      <c r="U68" s="12">
        <f t="shared" si="40"/>
        <v>9150000</v>
      </c>
      <c r="V68" s="12">
        <f t="shared" si="41"/>
        <v>9125000</v>
      </c>
      <c r="W68" s="12">
        <f t="shared" si="42"/>
        <v>9125000</v>
      </c>
      <c r="X68" s="12">
        <f t="shared" si="43"/>
        <v>9125000</v>
      </c>
      <c r="Y68" s="12">
        <f t="shared" si="44"/>
        <v>9150000</v>
      </c>
      <c r="Z68" s="12">
        <f t="shared" si="45"/>
        <v>9125000</v>
      </c>
      <c r="AA68" s="12">
        <f t="shared" si="46"/>
        <v>9125000</v>
      </c>
      <c r="AB68" s="12">
        <f t="shared" si="47"/>
        <v>1475000</v>
      </c>
      <c r="AC68" s="12">
        <f t="shared" si="48"/>
        <v>0</v>
      </c>
      <c r="AD68" s="12">
        <f t="shared" si="49"/>
        <v>0</v>
      </c>
      <c r="AE68" s="12">
        <f t="shared" si="39"/>
        <v>0</v>
      </c>
      <c r="AG68" s="13">
        <f>+U68*'CSF Rates'!C$12</f>
        <v>946567.49999999988</v>
      </c>
      <c r="AH68" s="13">
        <f>+V68*'CSF Rates'!D$12</f>
        <v>963305.00000000012</v>
      </c>
      <c r="AI68" s="13">
        <f>+W68*'CSF Rates'!E$12</f>
        <v>983380</v>
      </c>
      <c r="AJ68" s="13">
        <f>+X68*'CSF Rates'!F$12</f>
        <v>1003455.0000000001</v>
      </c>
      <c r="AK68" s="13">
        <f>+Y68*'CSF Rates'!G$12</f>
        <v>1026477.4999999999</v>
      </c>
      <c r="AL68" s="13">
        <f>+Z68*'CSF Rates'!H$12</f>
        <v>1044670</v>
      </c>
      <c r="AM68" s="13">
        <f>+AA68*'CSF Rates'!I$12</f>
        <v>1065810.0000000002</v>
      </c>
      <c r="AN68" s="13">
        <f>+AB68*'CSF Rates'!J$12</f>
        <v>175821.61643835617</v>
      </c>
      <c r="AO68" s="13">
        <f>+AC68*'CSF Rates'!K$12</f>
        <v>0</v>
      </c>
      <c r="AP68" s="13">
        <f>+AD68*'CSF Rates'!L$12</f>
        <v>0</v>
      </c>
      <c r="AQ68" s="13">
        <f>+AE68*'CSF Rates'!M$12</f>
        <v>0</v>
      </c>
    </row>
    <row r="69" spans="1:43" x14ac:dyDescent="0.2">
      <c r="A69" s="1" t="s">
        <v>0</v>
      </c>
      <c r="B69" s="10" t="s">
        <v>34</v>
      </c>
      <c r="C69">
        <v>27566</v>
      </c>
      <c r="D69">
        <v>20000</v>
      </c>
      <c r="E69" s="2" t="s">
        <v>13</v>
      </c>
      <c r="F69" s="27">
        <v>37316</v>
      </c>
      <c r="G69" s="11">
        <v>39172</v>
      </c>
      <c r="H69" s="12">
        <v>0</v>
      </c>
      <c r="I69" s="12">
        <v>0</v>
      </c>
      <c r="J69" s="12">
        <f>"1/1/03"-"3/01/02"</f>
        <v>306</v>
      </c>
      <c r="K69" s="12">
        <v>365</v>
      </c>
      <c r="L69" s="12">
        <v>366</v>
      </c>
      <c r="M69" s="14">
        <v>365</v>
      </c>
      <c r="N69" s="12">
        <v>365</v>
      </c>
      <c r="O69" s="12">
        <f>+G69-"12/31/06"</f>
        <v>90</v>
      </c>
      <c r="P69" s="12">
        <v>0</v>
      </c>
      <c r="Q69" s="12">
        <v>0</v>
      </c>
      <c r="R69" s="12">
        <v>0</v>
      </c>
      <c r="S69" s="12">
        <f t="shared" si="37"/>
        <v>1856</v>
      </c>
      <c r="T69" s="12">
        <f t="shared" si="38"/>
        <v>1857</v>
      </c>
      <c r="U69" s="12">
        <f t="shared" si="40"/>
        <v>0</v>
      </c>
      <c r="V69" s="12">
        <f t="shared" si="41"/>
        <v>0</v>
      </c>
      <c r="W69" s="12">
        <f t="shared" si="42"/>
        <v>6120000</v>
      </c>
      <c r="X69" s="12">
        <f t="shared" si="43"/>
        <v>7300000</v>
      </c>
      <c r="Y69" s="12">
        <f t="shared" si="44"/>
        <v>7320000</v>
      </c>
      <c r="Z69" s="12">
        <f t="shared" si="45"/>
        <v>7300000</v>
      </c>
      <c r="AA69" s="12">
        <f t="shared" si="46"/>
        <v>7300000</v>
      </c>
      <c r="AB69" s="12">
        <f t="shared" si="47"/>
        <v>1800000</v>
      </c>
      <c r="AC69" s="12">
        <f t="shared" si="48"/>
        <v>0</v>
      </c>
      <c r="AD69" s="12">
        <f t="shared" si="49"/>
        <v>0</v>
      </c>
      <c r="AE69" s="12">
        <f t="shared" si="39"/>
        <v>0</v>
      </c>
      <c r="AG69" s="13">
        <f>+U69*'CSF Rates'!C$12</f>
        <v>0</v>
      </c>
      <c r="AH69" s="13">
        <f>+V69*'CSF Rates'!D$12</f>
        <v>0</v>
      </c>
      <c r="AI69" s="13">
        <f>+W69*'CSF Rates'!E$12</f>
        <v>659538.14794520545</v>
      </c>
      <c r="AJ69" s="13">
        <f>+X69*'CSF Rates'!F$12</f>
        <v>802764.00000000012</v>
      </c>
      <c r="AK69" s="13">
        <f>+Y69*'CSF Rates'!G$12</f>
        <v>821181.99999999988</v>
      </c>
      <c r="AL69" s="13">
        <f>+Z69*'CSF Rates'!H$12</f>
        <v>835736</v>
      </c>
      <c r="AM69" s="13">
        <f>+AA69*'CSF Rates'!I$12</f>
        <v>852648.00000000012</v>
      </c>
      <c r="AN69" s="13">
        <f>+AB69*'CSF Rates'!J$12</f>
        <v>214561.97260273973</v>
      </c>
      <c r="AO69" s="13">
        <f>+AC69*'CSF Rates'!K$12</f>
        <v>0</v>
      </c>
      <c r="AP69" s="13">
        <f>+AD69*'CSF Rates'!L$12</f>
        <v>0</v>
      </c>
      <c r="AQ69" s="13">
        <f>+AE69*'CSF Rates'!M$12</f>
        <v>0</v>
      </c>
    </row>
    <row r="70" spans="1:43" x14ac:dyDescent="0.2">
      <c r="A70" s="1" t="s">
        <v>0</v>
      </c>
      <c r="B70" s="10" t="s">
        <v>12</v>
      </c>
      <c r="C70">
        <v>20835</v>
      </c>
      <c r="D70">
        <v>20000</v>
      </c>
      <c r="E70" s="2" t="s">
        <v>13</v>
      </c>
      <c r="F70" s="27">
        <v>36525</v>
      </c>
      <c r="G70" s="11">
        <v>37315</v>
      </c>
      <c r="H70" s="14">
        <v>366</v>
      </c>
      <c r="I70" s="12">
        <v>365</v>
      </c>
      <c r="J70" s="12">
        <f>+G70-"12/31/2001"</f>
        <v>59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f t="shared" si="37"/>
        <v>790</v>
      </c>
      <c r="T70" s="12">
        <f t="shared" si="38"/>
        <v>790</v>
      </c>
      <c r="U70" s="12">
        <f t="shared" si="40"/>
        <v>7320000</v>
      </c>
      <c r="V70" s="12">
        <f t="shared" si="41"/>
        <v>7300000</v>
      </c>
      <c r="W70" s="12">
        <f t="shared" si="42"/>
        <v>1180000</v>
      </c>
      <c r="X70" s="12">
        <f t="shared" si="43"/>
        <v>0</v>
      </c>
      <c r="Y70" s="12">
        <f t="shared" si="44"/>
        <v>0</v>
      </c>
      <c r="Z70" s="12">
        <f t="shared" si="45"/>
        <v>0</v>
      </c>
      <c r="AA70" s="12">
        <f t="shared" si="46"/>
        <v>0</v>
      </c>
      <c r="AB70" s="12">
        <f t="shared" si="47"/>
        <v>0</v>
      </c>
      <c r="AC70" s="12">
        <f t="shared" si="48"/>
        <v>0</v>
      </c>
      <c r="AD70" s="12">
        <f t="shared" si="49"/>
        <v>0</v>
      </c>
      <c r="AE70" s="12">
        <f t="shared" si="39"/>
        <v>0</v>
      </c>
      <c r="AG70" s="13">
        <f>+U70*'CSF Rates'!C$12</f>
        <v>757253.99999999988</v>
      </c>
      <c r="AH70" s="13">
        <f>+V70*'CSF Rates'!D$12</f>
        <v>770644</v>
      </c>
      <c r="AI70" s="13">
        <f>+W70*'CSF Rates'!E$12</f>
        <v>127165.85205479452</v>
      </c>
      <c r="AJ70" s="13">
        <f>+X70*'CSF Rates'!F$12</f>
        <v>0</v>
      </c>
      <c r="AK70" s="13">
        <f>+Y70*'CSF Rates'!G$12</f>
        <v>0</v>
      </c>
      <c r="AL70" s="13">
        <f>+Z70*'CSF Rates'!H$12</f>
        <v>0</v>
      </c>
      <c r="AM70" s="13">
        <f>+AA70*'CSF Rates'!I$12</f>
        <v>0</v>
      </c>
      <c r="AN70" s="13">
        <f>+AB70*'CSF Rates'!J$12</f>
        <v>0</v>
      </c>
      <c r="AO70" s="13">
        <f>+AC70*'CSF Rates'!K$12</f>
        <v>0</v>
      </c>
      <c r="AP70" s="13">
        <f>+AD70*'CSF Rates'!L$12</f>
        <v>0</v>
      </c>
      <c r="AQ70" s="13">
        <f>+AE70*'CSF Rates'!M$12</f>
        <v>0</v>
      </c>
    </row>
    <row r="71" spans="1:43" x14ac:dyDescent="0.2">
      <c r="A71" s="1" t="s">
        <v>0</v>
      </c>
      <c r="B71" s="10" t="s">
        <v>64</v>
      </c>
      <c r="C71">
        <v>26371</v>
      </c>
      <c r="D71">
        <v>25000</v>
      </c>
      <c r="E71" s="2" t="s">
        <v>13</v>
      </c>
      <c r="F71" s="27">
        <v>36525</v>
      </c>
      <c r="G71" s="11">
        <v>39172</v>
      </c>
      <c r="H71" s="12">
        <v>366</v>
      </c>
      <c r="I71" s="12">
        <v>365</v>
      </c>
      <c r="J71" s="12">
        <v>365</v>
      </c>
      <c r="K71" s="12">
        <v>365</v>
      </c>
      <c r="L71" s="12">
        <v>366</v>
      </c>
      <c r="M71" s="14">
        <v>365</v>
      </c>
      <c r="N71" s="12">
        <v>365</v>
      </c>
      <c r="O71" s="12">
        <f>+G71-"12/31/06"</f>
        <v>90</v>
      </c>
      <c r="P71" s="12">
        <v>0</v>
      </c>
      <c r="Q71" s="12">
        <v>0</v>
      </c>
      <c r="R71" s="12">
        <v>0</v>
      </c>
      <c r="S71" s="12">
        <f t="shared" si="37"/>
        <v>2647</v>
      </c>
      <c r="T71" s="12">
        <f t="shared" si="38"/>
        <v>2647</v>
      </c>
      <c r="U71" s="12">
        <f t="shared" si="40"/>
        <v>9150000</v>
      </c>
      <c r="V71" s="12">
        <f t="shared" si="41"/>
        <v>9125000</v>
      </c>
      <c r="W71" s="12">
        <f t="shared" si="42"/>
        <v>9125000</v>
      </c>
      <c r="X71" s="12">
        <f t="shared" si="43"/>
        <v>9125000</v>
      </c>
      <c r="Y71" s="12">
        <f t="shared" si="44"/>
        <v>9150000</v>
      </c>
      <c r="Z71" s="12">
        <f t="shared" si="45"/>
        <v>9125000</v>
      </c>
      <c r="AA71" s="12">
        <f t="shared" si="46"/>
        <v>9125000</v>
      </c>
      <c r="AB71" s="12">
        <f t="shared" si="47"/>
        <v>2250000</v>
      </c>
      <c r="AC71" s="12">
        <f t="shared" si="48"/>
        <v>0</v>
      </c>
      <c r="AD71" s="12">
        <f t="shared" si="49"/>
        <v>0</v>
      </c>
      <c r="AE71" s="12">
        <f t="shared" si="39"/>
        <v>0</v>
      </c>
      <c r="AG71" s="13">
        <f>+U71*'CSF Rates'!C$12</f>
        <v>946567.49999999988</v>
      </c>
      <c r="AH71" s="13">
        <f>+V71*'CSF Rates'!D$12</f>
        <v>963305.00000000012</v>
      </c>
      <c r="AI71" s="13">
        <f>+W71*'CSF Rates'!E$12</f>
        <v>983380</v>
      </c>
      <c r="AJ71" s="13">
        <f>+X71*'CSF Rates'!F$12</f>
        <v>1003455.0000000001</v>
      </c>
      <c r="AK71" s="13">
        <f>+Y71*'CSF Rates'!G$12</f>
        <v>1026477.4999999999</v>
      </c>
      <c r="AL71" s="13">
        <f>+Z71*'CSF Rates'!H$12</f>
        <v>1044670</v>
      </c>
      <c r="AM71" s="13">
        <f>+AA71*'CSF Rates'!I$12</f>
        <v>1065810.0000000002</v>
      </c>
      <c r="AN71" s="13">
        <f>+AB71*'CSF Rates'!J$12</f>
        <v>268202.46575342468</v>
      </c>
      <c r="AO71" s="13">
        <f>+AC71*'CSF Rates'!K$12</f>
        <v>0</v>
      </c>
      <c r="AP71" s="13">
        <f>+AD71*'CSF Rates'!L$12</f>
        <v>0</v>
      </c>
      <c r="AQ71" s="13">
        <f>+AE71*'CSF Rates'!M$12</f>
        <v>0</v>
      </c>
    </row>
    <row r="72" spans="1:43" x14ac:dyDescent="0.2">
      <c r="A72" s="1" t="s">
        <v>0</v>
      </c>
      <c r="B72" s="10" t="s">
        <v>56</v>
      </c>
      <c r="C72">
        <v>27453</v>
      </c>
      <c r="D72">
        <v>35000</v>
      </c>
      <c r="E72" s="2" t="s">
        <v>13</v>
      </c>
      <c r="F72" s="27">
        <v>37621</v>
      </c>
      <c r="G72" s="11">
        <v>37986</v>
      </c>
      <c r="H72" s="12">
        <v>0</v>
      </c>
      <c r="I72" s="12">
        <v>0</v>
      </c>
      <c r="J72" s="12">
        <v>0</v>
      </c>
      <c r="K72" s="12">
        <v>365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f t="shared" si="37"/>
        <v>365</v>
      </c>
      <c r="T72" s="12">
        <f t="shared" si="38"/>
        <v>365</v>
      </c>
      <c r="U72" s="12">
        <f t="shared" si="40"/>
        <v>0</v>
      </c>
      <c r="V72" s="12">
        <f t="shared" si="41"/>
        <v>0</v>
      </c>
      <c r="W72" s="12">
        <f t="shared" si="42"/>
        <v>0</v>
      </c>
      <c r="X72" s="12">
        <f t="shared" si="43"/>
        <v>12775000</v>
      </c>
      <c r="Y72" s="12">
        <f t="shared" si="44"/>
        <v>0</v>
      </c>
      <c r="Z72" s="12">
        <f t="shared" si="45"/>
        <v>0</v>
      </c>
      <c r="AA72" s="12">
        <f t="shared" si="46"/>
        <v>0</v>
      </c>
      <c r="AB72" s="12">
        <f t="shared" si="47"/>
        <v>0</v>
      </c>
      <c r="AC72" s="12">
        <f t="shared" si="48"/>
        <v>0</v>
      </c>
      <c r="AD72" s="12">
        <f t="shared" si="49"/>
        <v>0</v>
      </c>
      <c r="AE72" s="12">
        <f t="shared" si="39"/>
        <v>0</v>
      </c>
      <c r="AG72" s="13">
        <f>+U72*'CSF Rates'!C$12</f>
        <v>0</v>
      </c>
      <c r="AH72" s="13">
        <f>+V72*'CSF Rates'!D$12</f>
        <v>0</v>
      </c>
      <c r="AI72" s="13">
        <f>+W72*'CSF Rates'!E$12</f>
        <v>0</v>
      </c>
      <c r="AJ72" s="13">
        <f>+X72*'CSF Rates'!F$12</f>
        <v>1404837</v>
      </c>
      <c r="AK72" s="13">
        <f>+Y72*'CSF Rates'!G$12</f>
        <v>0</v>
      </c>
      <c r="AL72" s="13">
        <f>+Z72*'CSF Rates'!H$12</f>
        <v>0</v>
      </c>
      <c r="AM72" s="13">
        <f>+AA72*'CSF Rates'!I$12</f>
        <v>0</v>
      </c>
      <c r="AN72" s="13">
        <f>+AB72*'CSF Rates'!J$12</f>
        <v>0</v>
      </c>
      <c r="AO72" s="13">
        <f>+AC72*'CSF Rates'!K$12</f>
        <v>0</v>
      </c>
      <c r="AP72" s="13">
        <f>+AD72*'CSF Rates'!L$12</f>
        <v>0</v>
      </c>
      <c r="AQ72" s="13">
        <f>+AE72*'CSF Rates'!M$12</f>
        <v>0</v>
      </c>
    </row>
    <row r="73" spans="1:43" x14ac:dyDescent="0.2">
      <c r="A73" s="1" t="s">
        <v>0</v>
      </c>
      <c r="B73" s="10" t="s">
        <v>56</v>
      </c>
      <c r="C73">
        <v>27456</v>
      </c>
      <c r="D73">
        <v>21500</v>
      </c>
      <c r="E73" s="2" t="s">
        <v>13</v>
      </c>
      <c r="F73" s="27">
        <v>37560</v>
      </c>
      <c r="G73" s="11">
        <v>37621</v>
      </c>
      <c r="H73" s="12">
        <v>0</v>
      </c>
      <c r="I73" s="12">
        <v>0</v>
      </c>
      <c r="J73" s="12">
        <f>+G73-"10/31/02"</f>
        <v>61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f t="shared" si="37"/>
        <v>61</v>
      </c>
      <c r="T73" s="12">
        <f t="shared" si="38"/>
        <v>61</v>
      </c>
      <c r="U73" s="12">
        <f t="shared" si="40"/>
        <v>0</v>
      </c>
      <c r="V73" s="12">
        <f t="shared" si="41"/>
        <v>0</v>
      </c>
      <c r="W73" s="12">
        <f t="shared" si="42"/>
        <v>1311500</v>
      </c>
      <c r="X73" s="12">
        <f t="shared" si="43"/>
        <v>0</v>
      </c>
      <c r="Y73" s="12">
        <f t="shared" si="44"/>
        <v>0</v>
      </c>
      <c r="Z73" s="12">
        <f t="shared" si="45"/>
        <v>0</v>
      </c>
      <c r="AA73" s="12">
        <f t="shared" si="46"/>
        <v>0</v>
      </c>
      <c r="AB73" s="12">
        <f t="shared" si="47"/>
        <v>0</v>
      </c>
      <c r="AC73" s="12">
        <f t="shared" si="48"/>
        <v>0</v>
      </c>
      <c r="AD73" s="12">
        <f t="shared" si="49"/>
        <v>0</v>
      </c>
      <c r="AE73" s="12">
        <f t="shared" si="39"/>
        <v>0</v>
      </c>
      <c r="AG73" s="13">
        <f>+U73*'CSF Rates'!C$12</f>
        <v>0</v>
      </c>
      <c r="AH73" s="13">
        <f>+V73*'CSF Rates'!D$12</f>
        <v>0</v>
      </c>
      <c r="AI73" s="13">
        <f>+W73*'CSF Rates'!E$12</f>
        <v>141337.3008219178</v>
      </c>
      <c r="AJ73" s="13">
        <f>+X73*'CSF Rates'!F$12</f>
        <v>0</v>
      </c>
      <c r="AK73" s="13">
        <f>+Y73*'CSF Rates'!G$12</f>
        <v>0</v>
      </c>
      <c r="AL73" s="13">
        <f>+Z73*'CSF Rates'!H$12</f>
        <v>0</v>
      </c>
      <c r="AM73" s="13">
        <f>+AA73*'CSF Rates'!I$12</f>
        <v>0</v>
      </c>
      <c r="AN73" s="13">
        <f>+AB73*'CSF Rates'!J$12</f>
        <v>0</v>
      </c>
      <c r="AO73" s="13">
        <f>+AC73*'CSF Rates'!K$12</f>
        <v>0</v>
      </c>
      <c r="AP73" s="13">
        <f>+AD73*'CSF Rates'!L$12</f>
        <v>0</v>
      </c>
      <c r="AQ73" s="13">
        <f>+AE73*'CSF Rates'!M$12</f>
        <v>0</v>
      </c>
    </row>
    <row r="74" spans="1:43" ht="13.5" thickBot="1" x14ac:dyDescent="0.25">
      <c r="A74" s="1" t="s">
        <v>0</v>
      </c>
      <c r="B74" s="82" t="s">
        <v>56</v>
      </c>
      <c r="C74" s="4">
        <v>27457</v>
      </c>
      <c r="D74" s="4">
        <v>13500</v>
      </c>
      <c r="E74" s="5" t="s">
        <v>13</v>
      </c>
      <c r="F74" s="86">
        <v>37225</v>
      </c>
      <c r="G74" s="88">
        <v>37256</v>
      </c>
      <c r="H74" s="90">
        <v>0</v>
      </c>
      <c r="I74" s="90">
        <v>31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12">
        <f t="shared" si="37"/>
        <v>31</v>
      </c>
      <c r="T74" s="12">
        <f t="shared" si="38"/>
        <v>31</v>
      </c>
      <c r="U74" s="90">
        <f t="shared" si="40"/>
        <v>0</v>
      </c>
      <c r="V74" s="90">
        <f t="shared" si="41"/>
        <v>418500</v>
      </c>
      <c r="W74" s="90">
        <f t="shared" si="42"/>
        <v>0</v>
      </c>
      <c r="X74" s="90">
        <f t="shared" si="43"/>
        <v>0</v>
      </c>
      <c r="Y74" s="90">
        <f t="shared" si="44"/>
        <v>0</v>
      </c>
      <c r="Z74" s="90">
        <f t="shared" si="45"/>
        <v>0</v>
      </c>
      <c r="AA74" s="90">
        <f t="shared" si="46"/>
        <v>0</v>
      </c>
      <c r="AB74" s="90">
        <f t="shared" si="47"/>
        <v>0</v>
      </c>
      <c r="AC74" s="90">
        <f t="shared" si="48"/>
        <v>0</v>
      </c>
      <c r="AD74" s="90">
        <f t="shared" si="49"/>
        <v>0</v>
      </c>
      <c r="AE74" s="90">
        <f t="shared" si="39"/>
        <v>0</v>
      </c>
      <c r="AG74" s="92">
        <f>+U74*'CSF Rates'!C$12</f>
        <v>0</v>
      </c>
      <c r="AH74" s="92">
        <f>+V74*'CSF Rates'!D$12</f>
        <v>44180.070410958906</v>
      </c>
      <c r="AI74" s="92">
        <f>+W74*'CSF Rates'!E$12</f>
        <v>0</v>
      </c>
      <c r="AJ74" s="92">
        <f>+X74*'CSF Rates'!F$12</f>
        <v>0</v>
      </c>
      <c r="AK74" s="92">
        <f>+Y74*'CSF Rates'!G$12</f>
        <v>0</v>
      </c>
      <c r="AL74" s="92">
        <f>+Z74*'CSF Rates'!H$12</f>
        <v>0</v>
      </c>
      <c r="AM74" s="92">
        <f>+AA74*'CSF Rates'!I$12</f>
        <v>0</v>
      </c>
      <c r="AN74" s="92">
        <f>+AB74*'CSF Rates'!J$12</f>
        <v>0</v>
      </c>
      <c r="AO74" s="92">
        <f>+AC74*'CSF Rates'!K$12</f>
        <v>0</v>
      </c>
      <c r="AP74" s="92">
        <f>+AD74*'CSF Rates'!L$12</f>
        <v>0</v>
      </c>
      <c r="AQ74" s="92">
        <f>+AE74*'CSF Rates'!M$12</f>
        <v>0</v>
      </c>
    </row>
    <row r="75" spans="1:43" x14ac:dyDescent="0.2">
      <c r="A75" s="1" t="s">
        <v>0</v>
      </c>
      <c r="B75" s="10" t="s">
        <v>21</v>
      </c>
      <c r="C75">
        <v>24654</v>
      </c>
      <c r="D75">
        <v>8000</v>
      </c>
      <c r="E75" s="2" t="s">
        <v>13</v>
      </c>
      <c r="F75" s="27">
        <v>36525</v>
      </c>
      <c r="G75" s="11">
        <v>37256</v>
      </c>
      <c r="H75" s="12">
        <v>366</v>
      </c>
      <c r="I75" s="12">
        <f>G75-"12/31/00"</f>
        <v>365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f t="shared" si="37"/>
        <v>731</v>
      </c>
      <c r="T75" s="12">
        <f t="shared" si="38"/>
        <v>731</v>
      </c>
      <c r="U75" s="12">
        <f t="shared" ref="U75:U80" si="50">+H75*$D75</f>
        <v>2928000</v>
      </c>
      <c r="V75" s="12">
        <f t="shared" ref="V75:V127" si="51">+I75*$D75</f>
        <v>2920000</v>
      </c>
      <c r="W75" s="12">
        <f t="shared" ref="W75:W127" si="52">+J75*$D75</f>
        <v>0</v>
      </c>
      <c r="X75" s="12">
        <f t="shared" ref="X75:X127" si="53">+K75*$D75</f>
        <v>0</v>
      </c>
      <c r="Y75" s="12">
        <f t="shared" ref="Y75:AE75" si="54">+L75*$D75</f>
        <v>0</v>
      </c>
      <c r="Z75" s="12">
        <f t="shared" si="54"/>
        <v>0</v>
      </c>
      <c r="AA75" s="12">
        <f t="shared" si="54"/>
        <v>0</v>
      </c>
      <c r="AB75" s="12">
        <f t="shared" si="54"/>
        <v>0</v>
      </c>
      <c r="AC75" s="12">
        <f t="shared" si="54"/>
        <v>0</v>
      </c>
      <c r="AD75" s="12">
        <f t="shared" si="54"/>
        <v>0</v>
      </c>
      <c r="AE75" s="12">
        <f t="shared" si="54"/>
        <v>0</v>
      </c>
      <c r="AG75" s="13">
        <f>+U75*'CSF Rates'!C$12</f>
        <v>302901.59999999998</v>
      </c>
      <c r="AH75" s="13">
        <f>+V75*'CSF Rates'!D$12</f>
        <v>308257.60000000003</v>
      </c>
      <c r="AI75" s="13">
        <f>+W75*'CSF Rates'!E$12</f>
        <v>0</v>
      </c>
      <c r="AJ75" s="13">
        <f>+X75*'CSF Rates'!F$12</f>
        <v>0</v>
      </c>
      <c r="AK75" s="13">
        <f>+Y75*'CSF Rates'!G$12</f>
        <v>0</v>
      </c>
      <c r="AL75" s="13">
        <f>+Z75*'CSF Rates'!H$12</f>
        <v>0</v>
      </c>
      <c r="AM75" s="13">
        <f>+AA75*'CSF Rates'!I$12</f>
        <v>0</v>
      </c>
      <c r="AN75" s="13">
        <f>+AB75*'CSF Rates'!J$12</f>
        <v>0</v>
      </c>
      <c r="AO75" s="13">
        <f>+AC75*'CSF Rates'!K$12</f>
        <v>0</v>
      </c>
      <c r="AP75" s="13">
        <f>+AD75*'CSF Rates'!L$12</f>
        <v>0</v>
      </c>
      <c r="AQ75" s="13">
        <f>+AE75*'CSF Rates'!M$12</f>
        <v>0</v>
      </c>
    </row>
    <row r="76" spans="1:43" x14ac:dyDescent="0.2">
      <c r="A76" s="1" t="s">
        <v>0</v>
      </c>
      <c r="B76" s="10" t="s">
        <v>20</v>
      </c>
      <c r="C76">
        <v>24568</v>
      </c>
      <c r="D76">
        <v>32000</v>
      </c>
      <c r="E76" s="2" t="s">
        <v>13</v>
      </c>
      <c r="F76" s="27">
        <v>36525</v>
      </c>
      <c r="G76" s="11">
        <v>37256</v>
      </c>
      <c r="H76" s="12">
        <v>366</v>
      </c>
      <c r="I76" s="12">
        <f>G76-"12/31/00"</f>
        <v>365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f t="shared" si="37"/>
        <v>731</v>
      </c>
      <c r="T76" s="12">
        <f t="shared" si="38"/>
        <v>731</v>
      </c>
      <c r="U76" s="12">
        <f t="shared" si="50"/>
        <v>11712000</v>
      </c>
      <c r="V76" s="12">
        <f t="shared" si="51"/>
        <v>11680000</v>
      </c>
      <c r="W76" s="12">
        <f t="shared" si="52"/>
        <v>0</v>
      </c>
      <c r="X76" s="12">
        <f t="shared" si="53"/>
        <v>0</v>
      </c>
      <c r="Y76" s="12">
        <f t="shared" ref="Y76:Y128" si="55">+L76*$D76</f>
        <v>0</v>
      </c>
      <c r="Z76" s="12">
        <f t="shared" ref="Z76:Z128" si="56">+M76*$D76</f>
        <v>0</v>
      </c>
      <c r="AA76" s="12">
        <f t="shared" ref="AA76:AA127" si="57">+N76*$D76</f>
        <v>0</v>
      </c>
      <c r="AB76" s="12">
        <f t="shared" ref="AB76:AB127" si="58">+O76*$D76</f>
        <v>0</v>
      </c>
      <c r="AC76" s="12">
        <f t="shared" ref="AC76:AC127" si="59">+P76*$D76</f>
        <v>0</v>
      </c>
      <c r="AD76" s="12">
        <f t="shared" ref="AD76:AD127" si="60">+Q76*$D76</f>
        <v>0</v>
      </c>
      <c r="AE76" s="12">
        <f t="shared" ref="AE76:AE127" si="61">+R76*$D76</f>
        <v>0</v>
      </c>
      <c r="AG76" s="13">
        <f>+U76*'CSF Rates'!C$12</f>
        <v>1211606.3999999999</v>
      </c>
      <c r="AH76" s="13">
        <f>+V76*'CSF Rates'!D$12</f>
        <v>1233030.4000000001</v>
      </c>
      <c r="AI76" s="13">
        <f>+W76*'CSF Rates'!E$12</f>
        <v>0</v>
      </c>
      <c r="AJ76" s="13">
        <f>+X76*'CSF Rates'!F$12</f>
        <v>0</v>
      </c>
      <c r="AK76" s="13">
        <f>+Y76*'CSF Rates'!G$12</f>
        <v>0</v>
      </c>
      <c r="AL76" s="13">
        <f>+Z76*'CSF Rates'!H$12</f>
        <v>0</v>
      </c>
      <c r="AM76" s="13">
        <f>+AA76*'CSF Rates'!I$12</f>
        <v>0</v>
      </c>
      <c r="AN76" s="13">
        <f>+AB76*'CSF Rates'!J$12</f>
        <v>0</v>
      </c>
      <c r="AO76" s="13">
        <f>+AC76*'CSF Rates'!K$12</f>
        <v>0</v>
      </c>
      <c r="AP76" s="13">
        <f>+AD76*'CSF Rates'!L$12</f>
        <v>0</v>
      </c>
      <c r="AQ76" s="13">
        <f>+AE76*'CSF Rates'!M$12</f>
        <v>0</v>
      </c>
    </row>
    <row r="77" spans="1:43" x14ac:dyDescent="0.2">
      <c r="A77" s="1" t="s">
        <v>0</v>
      </c>
      <c r="B77" s="10" t="s">
        <v>14</v>
      </c>
      <c r="C77">
        <v>26125</v>
      </c>
      <c r="D77">
        <v>8600</v>
      </c>
      <c r="E77" s="2" t="s">
        <v>13</v>
      </c>
      <c r="F77" s="27">
        <v>36525</v>
      </c>
      <c r="G77" s="11">
        <v>37772</v>
      </c>
      <c r="H77" s="12">
        <v>366</v>
      </c>
      <c r="I77" s="12">
        <v>365</v>
      </c>
      <c r="J77" s="12">
        <v>365</v>
      </c>
      <c r="K77" s="12">
        <f>G77-"12/31/02"</f>
        <v>151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f t="shared" si="37"/>
        <v>1247</v>
      </c>
      <c r="T77" s="12">
        <f t="shared" si="38"/>
        <v>1247</v>
      </c>
      <c r="U77" s="12">
        <f t="shared" si="50"/>
        <v>3147600</v>
      </c>
      <c r="V77" s="12">
        <f t="shared" ref="V77:AE77" si="62">+I77*$D77</f>
        <v>3139000</v>
      </c>
      <c r="W77" s="12">
        <f t="shared" si="62"/>
        <v>3139000</v>
      </c>
      <c r="X77" s="12">
        <f t="shared" si="62"/>
        <v>1298600</v>
      </c>
      <c r="Y77" s="12">
        <f t="shared" si="62"/>
        <v>0</v>
      </c>
      <c r="Z77" s="12">
        <f t="shared" si="62"/>
        <v>0</v>
      </c>
      <c r="AA77" s="12">
        <f t="shared" si="62"/>
        <v>0</v>
      </c>
      <c r="AB77" s="12">
        <f t="shared" si="62"/>
        <v>0</v>
      </c>
      <c r="AC77" s="12">
        <f t="shared" si="62"/>
        <v>0</v>
      </c>
      <c r="AD77" s="12">
        <f t="shared" si="62"/>
        <v>0</v>
      </c>
      <c r="AE77" s="12">
        <f t="shared" si="62"/>
        <v>0</v>
      </c>
      <c r="AG77" s="13">
        <f>+U77*'CSF Rates'!C$12</f>
        <v>325619.21999999997</v>
      </c>
      <c r="AH77" s="13">
        <f>+V77*'CSF Rates'!D$12</f>
        <v>331376.92000000004</v>
      </c>
      <c r="AI77" s="13">
        <f>+W77*'CSF Rates'!E$12</f>
        <v>338282.72000000003</v>
      </c>
      <c r="AJ77" s="13">
        <f>+X77*'CSF Rates'!F$12</f>
        <v>142804.01786301372</v>
      </c>
      <c r="AK77" s="13">
        <f>+Y77*'CSF Rates'!G$12</f>
        <v>0</v>
      </c>
      <c r="AL77" s="13">
        <f>+Z77*'CSF Rates'!H$12</f>
        <v>0</v>
      </c>
      <c r="AM77" s="13">
        <f>+AA77*'CSF Rates'!I$12</f>
        <v>0</v>
      </c>
      <c r="AN77" s="13">
        <f>+AB77*'CSF Rates'!J$12</f>
        <v>0</v>
      </c>
      <c r="AO77" s="13">
        <f>+AC77*'CSF Rates'!K$12</f>
        <v>0</v>
      </c>
      <c r="AP77" s="13">
        <f>+AD77*'CSF Rates'!L$12</f>
        <v>0</v>
      </c>
      <c r="AQ77" s="13">
        <f>+AE77*'CSF Rates'!M$12</f>
        <v>0</v>
      </c>
    </row>
    <row r="78" spans="1:43" x14ac:dyDescent="0.2">
      <c r="A78" s="1" t="s">
        <v>0</v>
      </c>
      <c r="B78" s="10" t="s">
        <v>54</v>
      </c>
      <c r="C78">
        <v>26884</v>
      </c>
      <c r="D78">
        <v>40000</v>
      </c>
      <c r="E78" s="2" t="s">
        <v>13</v>
      </c>
      <c r="F78" s="27">
        <v>36646</v>
      </c>
      <c r="G78" s="11">
        <v>38656</v>
      </c>
      <c r="H78" s="14">
        <f>"1/1/2001"-"5/1/2000"</f>
        <v>245</v>
      </c>
      <c r="I78" s="12">
        <v>365</v>
      </c>
      <c r="J78" s="12">
        <v>365</v>
      </c>
      <c r="K78" s="12">
        <v>365</v>
      </c>
      <c r="L78" s="12">
        <v>366</v>
      </c>
      <c r="M78" s="14">
        <f>+G78-"12/31/04"</f>
        <v>304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f t="shared" si="37"/>
        <v>2010</v>
      </c>
      <c r="T78" s="12">
        <f t="shared" si="38"/>
        <v>2010</v>
      </c>
      <c r="U78" s="12">
        <f t="shared" si="50"/>
        <v>9800000</v>
      </c>
      <c r="V78" s="12">
        <f t="shared" si="51"/>
        <v>14600000</v>
      </c>
      <c r="W78" s="12">
        <f t="shared" si="52"/>
        <v>14600000</v>
      </c>
      <c r="X78" s="12">
        <f t="shared" si="53"/>
        <v>14600000</v>
      </c>
      <c r="Y78" s="12">
        <f t="shared" si="55"/>
        <v>14640000</v>
      </c>
      <c r="Z78" s="12">
        <f t="shared" si="56"/>
        <v>12160000</v>
      </c>
      <c r="AA78" s="12">
        <f t="shared" si="57"/>
        <v>0</v>
      </c>
      <c r="AB78" s="12">
        <f t="shared" si="58"/>
        <v>0</v>
      </c>
      <c r="AC78" s="12">
        <f t="shared" si="59"/>
        <v>0</v>
      </c>
      <c r="AD78" s="12">
        <f t="shared" si="60"/>
        <v>0</v>
      </c>
      <c r="AE78" s="12">
        <f t="shared" si="61"/>
        <v>0</v>
      </c>
      <c r="AG78" s="13">
        <f>+U78*'CSF Rates'!C$12</f>
        <v>1013809.9999999999</v>
      </c>
      <c r="AH78" s="13">
        <f>+V78*'CSF Rates'!D$12</f>
        <v>1541288</v>
      </c>
      <c r="AI78" s="13">
        <f>+W78*'CSF Rates'!E$12</f>
        <v>1573408</v>
      </c>
      <c r="AJ78" s="13">
        <f>+X78*'CSF Rates'!F$12</f>
        <v>1605528.0000000002</v>
      </c>
      <c r="AK78" s="13">
        <f>+Y78*'CSF Rates'!G$12</f>
        <v>1642363.9999999998</v>
      </c>
      <c r="AL78" s="13">
        <f>+Z78*'CSF Rates'!H$12</f>
        <v>1392130.104109589</v>
      </c>
      <c r="AM78" s="13">
        <f>+AA78*'CSF Rates'!I$12</f>
        <v>0</v>
      </c>
      <c r="AN78" s="13">
        <f>+AB78*'CSF Rates'!J$12</f>
        <v>0</v>
      </c>
      <c r="AO78" s="13">
        <f>+AC78*'CSF Rates'!K$12</f>
        <v>0</v>
      </c>
      <c r="AP78" s="13">
        <f>+AD78*'CSF Rates'!L$12</f>
        <v>0</v>
      </c>
      <c r="AQ78" s="13">
        <f>+AE78*'CSF Rates'!M$12</f>
        <v>0</v>
      </c>
    </row>
    <row r="79" spans="1:43" x14ac:dyDescent="0.2">
      <c r="A79" s="1" t="s">
        <v>0</v>
      </c>
      <c r="B79" s="10" t="s">
        <v>65</v>
      </c>
      <c r="C79">
        <v>26677</v>
      </c>
      <c r="D79">
        <v>25000</v>
      </c>
      <c r="E79" s="2" t="s">
        <v>13</v>
      </c>
      <c r="F79" s="27">
        <v>36525</v>
      </c>
      <c r="G79" s="11">
        <v>39172</v>
      </c>
      <c r="H79" s="12">
        <v>366</v>
      </c>
      <c r="I79" s="12">
        <v>365</v>
      </c>
      <c r="J79" s="12">
        <v>365</v>
      </c>
      <c r="K79" s="12">
        <v>365</v>
      </c>
      <c r="L79" s="12">
        <v>366</v>
      </c>
      <c r="M79" s="14">
        <v>365</v>
      </c>
      <c r="N79" s="12">
        <v>365</v>
      </c>
      <c r="O79" s="12">
        <f>+G79-"12/31/06"</f>
        <v>90</v>
      </c>
      <c r="P79" s="12">
        <v>0</v>
      </c>
      <c r="Q79" s="12">
        <v>0</v>
      </c>
      <c r="R79" s="12">
        <v>0</v>
      </c>
      <c r="S79" s="12">
        <f t="shared" si="37"/>
        <v>2647</v>
      </c>
      <c r="T79" s="12">
        <f t="shared" si="38"/>
        <v>2647</v>
      </c>
      <c r="U79" s="12">
        <f t="shared" si="50"/>
        <v>9150000</v>
      </c>
      <c r="V79" s="12">
        <f t="shared" si="51"/>
        <v>9125000</v>
      </c>
      <c r="W79" s="12">
        <f t="shared" si="52"/>
        <v>9125000</v>
      </c>
      <c r="X79" s="12">
        <f t="shared" si="53"/>
        <v>9125000</v>
      </c>
      <c r="Y79" s="12">
        <f t="shared" si="55"/>
        <v>9150000</v>
      </c>
      <c r="Z79" s="12">
        <f t="shared" si="56"/>
        <v>9125000</v>
      </c>
      <c r="AA79" s="12">
        <f t="shared" si="57"/>
        <v>9125000</v>
      </c>
      <c r="AB79" s="12">
        <f t="shared" si="58"/>
        <v>2250000</v>
      </c>
      <c r="AC79" s="12">
        <f t="shared" si="59"/>
        <v>0</v>
      </c>
      <c r="AD79" s="12">
        <f t="shared" si="60"/>
        <v>0</v>
      </c>
      <c r="AE79" s="12">
        <f t="shared" si="61"/>
        <v>0</v>
      </c>
      <c r="AG79" s="13">
        <f>+U79*'CSF Rates'!C$12</f>
        <v>946567.49999999988</v>
      </c>
      <c r="AH79" s="13">
        <f>+V79*'CSF Rates'!D$12</f>
        <v>963305.00000000012</v>
      </c>
      <c r="AI79" s="13">
        <f>+W79*'CSF Rates'!E$12</f>
        <v>983380</v>
      </c>
      <c r="AJ79" s="13">
        <f>+X79*'CSF Rates'!F$12</f>
        <v>1003455.0000000001</v>
      </c>
      <c r="AK79" s="13">
        <f>+Y79*'CSF Rates'!G$12</f>
        <v>1026477.4999999999</v>
      </c>
      <c r="AL79" s="13">
        <f>+Z79*'CSF Rates'!H$12</f>
        <v>1044670</v>
      </c>
      <c r="AM79" s="13">
        <f>+AA79*'CSF Rates'!I$12</f>
        <v>1065810.0000000002</v>
      </c>
      <c r="AN79" s="13">
        <f>+AB79*'CSF Rates'!J$12</f>
        <v>268202.46575342468</v>
      </c>
      <c r="AO79" s="13">
        <f>+AC79*'CSF Rates'!K$12</f>
        <v>0</v>
      </c>
      <c r="AP79" s="13">
        <f>+AD79*'CSF Rates'!L$12</f>
        <v>0</v>
      </c>
      <c r="AQ79" s="13">
        <f>+AE79*'CSF Rates'!M$12</f>
        <v>0</v>
      </c>
    </row>
    <row r="80" spans="1:43" x14ac:dyDescent="0.2">
      <c r="A80" s="1" t="s">
        <v>0</v>
      </c>
      <c r="B80" s="10" t="s">
        <v>57</v>
      </c>
      <c r="C80">
        <v>27534</v>
      </c>
      <c r="D80">
        <v>32500</v>
      </c>
      <c r="E80" s="2" t="s">
        <v>13</v>
      </c>
      <c r="F80" s="27">
        <v>37257</v>
      </c>
      <c r="G80" s="11">
        <v>37986</v>
      </c>
      <c r="H80" s="12">
        <v>0</v>
      </c>
      <c r="I80" s="12">
        <v>0</v>
      </c>
      <c r="J80" s="12">
        <v>304</v>
      </c>
      <c r="K80" s="12"/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f t="shared" si="37"/>
        <v>729</v>
      </c>
      <c r="T80" s="12">
        <f t="shared" si="38"/>
        <v>304</v>
      </c>
      <c r="U80" s="12">
        <f t="shared" si="50"/>
        <v>0</v>
      </c>
      <c r="V80" s="12">
        <f t="shared" si="51"/>
        <v>0</v>
      </c>
      <c r="W80" s="12">
        <f t="shared" si="52"/>
        <v>9880000</v>
      </c>
      <c r="X80" s="12">
        <f t="shared" si="53"/>
        <v>0</v>
      </c>
      <c r="Y80" s="12">
        <f t="shared" si="55"/>
        <v>0</v>
      </c>
      <c r="Z80" s="12">
        <f t="shared" si="56"/>
        <v>0</v>
      </c>
      <c r="AA80" s="12">
        <f t="shared" si="57"/>
        <v>0</v>
      </c>
      <c r="AB80" s="12">
        <f t="shared" si="58"/>
        <v>0</v>
      </c>
      <c r="AC80" s="12">
        <f t="shared" si="59"/>
        <v>0</v>
      </c>
      <c r="AD80" s="12">
        <f t="shared" si="60"/>
        <v>0</v>
      </c>
      <c r="AE80" s="12">
        <f t="shared" si="61"/>
        <v>0</v>
      </c>
      <c r="AG80" s="13">
        <f>+U80*'CSF Rates'!C$12</f>
        <v>0</v>
      </c>
      <c r="AH80" s="13">
        <f>+V80*'CSF Rates'!D$12</f>
        <v>0</v>
      </c>
      <c r="AI80" s="13">
        <f>+W80*'CSF Rates'!E$12</f>
        <v>1064744.591780822</v>
      </c>
      <c r="AJ80" s="13">
        <f>+X80*'CSF Rates'!F$12</f>
        <v>0</v>
      </c>
      <c r="AK80" s="13">
        <f>+Y80*'CSF Rates'!G$12</f>
        <v>0</v>
      </c>
      <c r="AL80" s="13">
        <f>+Z80*'CSF Rates'!H$12</f>
        <v>0</v>
      </c>
      <c r="AM80" s="13">
        <f>+AA80*'CSF Rates'!I$12</f>
        <v>0</v>
      </c>
      <c r="AN80" s="13">
        <f>+AB80*'CSF Rates'!J$12</f>
        <v>0</v>
      </c>
      <c r="AO80" s="13">
        <f>+AC80*'CSF Rates'!K$12</f>
        <v>0</v>
      </c>
      <c r="AP80" s="13">
        <f>+AD80*'CSF Rates'!L$12</f>
        <v>0</v>
      </c>
      <c r="AQ80" s="13">
        <f>+AE80*'CSF Rates'!M$12</f>
        <v>0</v>
      </c>
    </row>
    <row r="81" spans="1:43" x14ac:dyDescent="0.2">
      <c r="A81" s="1" t="s">
        <v>0</v>
      </c>
      <c r="B81" s="10" t="s">
        <v>57</v>
      </c>
      <c r="C81">
        <v>27534</v>
      </c>
      <c r="D81">
        <v>11000</v>
      </c>
      <c r="E81" s="2" t="s">
        <v>13</v>
      </c>
      <c r="F81" s="27">
        <v>37560</v>
      </c>
      <c r="G81" s="11">
        <v>37621</v>
      </c>
      <c r="H81" s="12"/>
      <c r="I81" s="12"/>
      <c r="J81" s="12">
        <v>61</v>
      </c>
      <c r="K81" s="12">
        <v>365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f t="shared" si="37"/>
        <v>61</v>
      </c>
      <c r="T81" s="12">
        <f t="shared" si="38"/>
        <v>426</v>
      </c>
      <c r="U81" s="12">
        <v>0</v>
      </c>
      <c r="V81" s="12">
        <v>0</v>
      </c>
      <c r="W81" s="12">
        <f t="shared" si="52"/>
        <v>671000</v>
      </c>
      <c r="X81" s="12">
        <f t="shared" si="53"/>
        <v>4015000</v>
      </c>
      <c r="Y81" s="12">
        <f t="shared" si="55"/>
        <v>0</v>
      </c>
      <c r="Z81" s="12">
        <f t="shared" si="56"/>
        <v>0</v>
      </c>
      <c r="AA81" s="12">
        <f t="shared" si="57"/>
        <v>0</v>
      </c>
      <c r="AB81" s="12">
        <f t="shared" si="58"/>
        <v>0</v>
      </c>
      <c r="AC81" s="12">
        <f t="shared" si="59"/>
        <v>0</v>
      </c>
      <c r="AD81" s="12">
        <f t="shared" si="60"/>
        <v>0</v>
      </c>
      <c r="AE81" s="12">
        <f t="shared" si="61"/>
        <v>0</v>
      </c>
      <c r="AG81" s="13">
        <f>+U81*'CSF Rates'!C$12</f>
        <v>0</v>
      </c>
      <c r="AH81" s="13">
        <f>+V81*'CSF Rates'!D$12</f>
        <v>0</v>
      </c>
      <c r="AI81" s="13">
        <f>+W81*'CSF Rates'!E$12</f>
        <v>72312.107397260275</v>
      </c>
      <c r="AJ81" s="13">
        <f>+X81*'CSF Rates'!F$12</f>
        <v>441520.2</v>
      </c>
      <c r="AK81" s="13">
        <f>+Y81*'CSF Rates'!G$12</f>
        <v>0</v>
      </c>
      <c r="AL81" s="13">
        <f>+Z81*'CSF Rates'!H$12</f>
        <v>0</v>
      </c>
      <c r="AM81" s="13">
        <f>+AA81*'CSF Rates'!I$12</f>
        <v>0</v>
      </c>
      <c r="AN81" s="13">
        <f>+AB81*'CSF Rates'!J$12</f>
        <v>0</v>
      </c>
      <c r="AO81" s="13">
        <f>+AC81*'CSF Rates'!K$12</f>
        <v>0</v>
      </c>
      <c r="AP81" s="13">
        <f>+AD81*'CSF Rates'!L$12</f>
        <v>0</v>
      </c>
      <c r="AQ81" s="13">
        <f>+AE81*'CSF Rates'!M$12</f>
        <v>0</v>
      </c>
    </row>
    <row r="82" spans="1:43" x14ac:dyDescent="0.2">
      <c r="A82" s="1" t="s">
        <v>0</v>
      </c>
      <c r="B82" s="10" t="s">
        <v>53</v>
      </c>
      <c r="C82">
        <v>21372</v>
      </c>
      <c r="D82">
        <v>1346</v>
      </c>
      <c r="E82" s="2" t="s">
        <v>13</v>
      </c>
      <c r="F82" s="27">
        <v>36525</v>
      </c>
      <c r="G82" s="11">
        <v>37986</v>
      </c>
      <c r="H82" s="12">
        <v>366</v>
      </c>
      <c r="I82" s="12">
        <v>365</v>
      </c>
      <c r="J82" s="12">
        <v>365</v>
      </c>
      <c r="K82" s="12">
        <f>+G82-"12/31/02"</f>
        <v>365</v>
      </c>
      <c r="L82" s="12">
        <v>0</v>
      </c>
      <c r="M82" s="14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f t="shared" si="37"/>
        <v>1461</v>
      </c>
      <c r="T82" s="12">
        <f t="shared" si="38"/>
        <v>1461</v>
      </c>
      <c r="U82" s="12">
        <f t="shared" ref="U82:U95" si="63">+H82*$D82</f>
        <v>492636</v>
      </c>
      <c r="V82" s="12">
        <f t="shared" si="51"/>
        <v>491290</v>
      </c>
      <c r="W82" s="12">
        <f t="shared" si="52"/>
        <v>491290</v>
      </c>
      <c r="X82" s="12">
        <f t="shared" si="53"/>
        <v>491290</v>
      </c>
      <c r="Y82" s="12">
        <f t="shared" si="55"/>
        <v>0</v>
      </c>
      <c r="Z82" s="12">
        <f t="shared" si="56"/>
        <v>0</v>
      </c>
      <c r="AA82" s="12">
        <f t="shared" si="57"/>
        <v>0</v>
      </c>
      <c r="AB82" s="12">
        <f t="shared" si="58"/>
        <v>0</v>
      </c>
      <c r="AC82" s="12">
        <f t="shared" si="59"/>
        <v>0</v>
      </c>
      <c r="AD82" s="12">
        <f t="shared" si="60"/>
        <v>0</v>
      </c>
      <c r="AE82" s="12">
        <f t="shared" si="61"/>
        <v>0</v>
      </c>
      <c r="AG82" s="13">
        <f>+U82*'CSF Rates'!C$12</f>
        <v>50963.194199999991</v>
      </c>
      <c r="AH82" s="13">
        <f>+V82*'CSF Rates'!D$12</f>
        <v>51864.341200000003</v>
      </c>
      <c r="AI82" s="13">
        <f>+W82*'CSF Rates'!E$12</f>
        <v>52945.179199999999</v>
      </c>
      <c r="AJ82" s="13">
        <f>+X82*'CSF Rates'!F$12</f>
        <v>54026.017200000002</v>
      </c>
      <c r="AK82" s="13">
        <f>+Y82*'CSF Rates'!G$12</f>
        <v>0</v>
      </c>
      <c r="AL82" s="13">
        <f>+Z82*'CSF Rates'!H$12</f>
        <v>0</v>
      </c>
      <c r="AM82" s="13">
        <f>+AA82*'CSF Rates'!I$12</f>
        <v>0</v>
      </c>
      <c r="AN82" s="13">
        <f>+AB82*'CSF Rates'!J$12</f>
        <v>0</v>
      </c>
      <c r="AO82" s="13">
        <f>+AC82*'CSF Rates'!K$12</f>
        <v>0</v>
      </c>
      <c r="AP82" s="13">
        <f>+AD82*'CSF Rates'!L$12</f>
        <v>0</v>
      </c>
      <c r="AQ82" s="13">
        <f>+AE82*'CSF Rates'!M$12</f>
        <v>0</v>
      </c>
    </row>
    <row r="83" spans="1:43" x14ac:dyDescent="0.2">
      <c r="A83" s="1" t="s">
        <v>0</v>
      </c>
      <c r="B83" s="10" t="s">
        <v>29</v>
      </c>
      <c r="C83">
        <v>26813</v>
      </c>
      <c r="D83">
        <v>3500</v>
      </c>
      <c r="E83" s="2" t="s">
        <v>13</v>
      </c>
      <c r="F83" s="27">
        <v>36646</v>
      </c>
      <c r="G83" s="11">
        <v>39506</v>
      </c>
      <c r="H83" s="12">
        <v>245</v>
      </c>
      <c r="I83" s="12">
        <v>365</v>
      </c>
      <c r="J83" s="12">
        <v>365</v>
      </c>
      <c r="K83" s="12">
        <v>365</v>
      </c>
      <c r="L83" s="12">
        <v>366</v>
      </c>
      <c r="M83" s="12">
        <v>365</v>
      </c>
      <c r="N83" s="12">
        <v>365</v>
      </c>
      <c r="O83" s="12">
        <v>365</v>
      </c>
      <c r="P83" s="12">
        <f>+G83-"12/31/2007"</f>
        <v>59</v>
      </c>
      <c r="Q83" s="12">
        <v>0</v>
      </c>
      <c r="R83" s="12">
        <v>0</v>
      </c>
      <c r="S83" s="12">
        <f t="shared" si="37"/>
        <v>2860</v>
      </c>
      <c r="T83" s="12">
        <f t="shared" si="38"/>
        <v>2860</v>
      </c>
      <c r="U83" s="12">
        <f t="shared" si="63"/>
        <v>857500</v>
      </c>
      <c r="V83" s="12">
        <f t="shared" si="51"/>
        <v>1277500</v>
      </c>
      <c r="W83" s="12">
        <f t="shared" si="52"/>
        <v>1277500</v>
      </c>
      <c r="X83" s="12">
        <f t="shared" si="53"/>
        <v>1277500</v>
      </c>
      <c r="Y83" s="12">
        <f t="shared" si="55"/>
        <v>1281000</v>
      </c>
      <c r="Z83" s="12">
        <f t="shared" si="56"/>
        <v>1277500</v>
      </c>
      <c r="AA83" s="12">
        <f t="shared" si="57"/>
        <v>1277500</v>
      </c>
      <c r="AB83" s="12">
        <f t="shared" si="58"/>
        <v>1277500</v>
      </c>
      <c r="AC83" s="12">
        <f t="shared" si="59"/>
        <v>206500</v>
      </c>
      <c r="AD83" s="12">
        <f t="shared" si="60"/>
        <v>0</v>
      </c>
      <c r="AE83" s="12">
        <f t="shared" si="61"/>
        <v>0</v>
      </c>
      <c r="AG83" s="13">
        <f>+U83*'CSF Rates'!C$12</f>
        <v>88708.374999999985</v>
      </c>
      <c r="AH83" s="13">
        <f>+V83*'CSF Rates'!D$12</f>
        <v>134862.70000000001</v>
      </c>
      <c r="AI83" s="13">
        <f>+W83*'CSF Rates'!E$12</f>
        <v>137673.20000000001</v>
      </c>
      <c r="AJ83" s="13">
        <f>+X83*'CSF Rates'!F$12</f>
        <v>140483.70000000001</v>
      </c>
      <c r="AK83" s="13">
        <f>+Y83*'CSF Rates'!G$12</f>
        <v>143706.84999999998</v>
      </c>
      <c r="AL83" s="13">
        <f>+Z83*'CSF Rates'!H$12</f>
        <v>146253.79999999999</v>
      </c>
      <c r="AM83" s="13">
        <f>+AA83*'CSF Rates'!I$12</f>
        <v>149213.40000000002</v>
      </c>
      <c r="AN83" s="13">
        <f>+AB83*'CSF Rates'!J$12</f>
        <v>152279.4</v>
      </c>
      <c r="AO83" s="13">
        <f>+AC83*'CSF Rates'!K$12</f>
        <v>25027.8</v>
      </c>
      <c r="AP83" s="13">
        <f>+AD83*'CSF Rates'!L$12</f>
        <v>0</v>
      </c>
      <c r="AQ83" s="13">
        <f>+AE83*'CSF Rates'!M$12</f>
        <v>0</v>
      </c>
    </row>
    <row r="84" spans="1:43" x14ac:dyDescent="0.2">
      <c r="A84" s="1" t="s">
        <v>0</v>
      </c>
      <c r="B84" s="10" t="s">
        <v>22</v>
      </c>
      <c r="C84">
        <v>21175</v>
      </c>
      <c r="D84">
        <v>150000</v>
      </c>
      <c r="E84" s="2" t="s">
        <v>13</v>
      </c>
      <c r="F84" s="27">
        <v>36525</v>
      </c>
      <c r="G84" s="28">
        <v>39172</v>
      </c>
      <c r="H84" s="12">
        <v>366</v>
      </c>
      <c r="I84" s="12">
        <v>365</v>
      </c>
      <c r="J84" s="12">
        <v>365</v>
      </c>
      <c r="K84" s="12">
        <v>365</v>
      </c>
      <c r="L84" s="12">
        <v>366</v>
      </c>
      <c r="M84" s="12">
        <v>365</v>
      </c>
      <c r="N84" s="12">
        <v>365</v>
      </c>
      <c r="O84" s="12">
        <f>G84-"12/31/06"</f>
        <v>90</v>
      </c>
      <c r="P84" s="12">
        <v>0</v>
      </c>
      <c r="Q84" s="12">
        <v>0</v>
      </c>
      <c r="R84" s="12">
        <v>0</v>
      </c>
      <c r="S84" s="12">
        <f t="shared" si="37"/>
        <v>2647</v>
      </c>
      <c r="T84" s="12">
        <f t="shared" si="38"/>
        <v>2647</v>
      </c>
      <c r="U84" s="12">
        <f t="shared" si="63"/>
        <v>54900000</v>
      </c>
      <c r="V84" s="12">
        <f t="shared" si="51"/>
        <v>54750000</v>
      </c>
      <c r="W84" s="12">
        <f t="shared" si="52"/>
        <v>54750000</v>
      </c>
      <c r="X84" s="12">
        <f t="shared" si="53"/>
        <v>54750000</v>
      </c>
      <c r="Y84" s="12">
        <f t="shared" si="55"/>
        <v>54900000</v>
      </c>
      <c r="Z84" s="12">
        <f t="shared" si="56"/>
        <v>54750000</v>
      </c>
      <c r="AA84" s="12">
        <f t="shared" si="57"/>
        <v>54750000</v>
      </c>
      <c r="AB84" s="12">
        <f t="shared" si="58"/>
        <v>13500000</v>
      </c>
      <c r="AC84" s="12">
        <f t="shared" si="59"/>
        <v>0</v>
      </c>
      <c r="AD84" s="12">
        <f t="shared" si="60"/>
        <v>0</v>
      </c>
      <c r="AE84" s="12">
        <f t="shared" si="61"/>
        <v>0</v>
      </c>
      <c r="AG84" s="13">
        <f>+U84*'CSF Rates'!C$12</f>
        <v>5679404.9999999991</v>
      </c>
      <c r="AH84" s="13">
        <f>+V84*'CSF Rates'!D$12</f>
        <v>5779830</v>
      </c>
      <c r="AI84" s="13">
        <f>+W84*'CSF Rates'!E$12</f>
        <v>5900280</v>
      </c>
      <c r="AJ84" s="13">
        <f>+X84*'CSF Rates'!F$12</f>
        <v>6020730.0000000009</v>
      </c>
      <c r="AK84" s="13">
        <f>+Y84*'CSF Rates'!G$12</f>
        <v>6158864.9999999991</v>
      </c>
      <c r="AL84" s="13">
        <f>+Z84*'CSF Rates'!H$12</f>
        <v>6268020</v>
      </c>
      <c r="AM84" s="13">
        <f>+AA84*'CSF Rates'!I$12</f>
        <v>6394860.0000000009</v>
      </c>
      <c r="AN84" s="13">
        <f>+AB84*'CSF Rates'!J$12</f>
        <v>1609214.7945205481</v>
      </c>
      <c r="AO84" s="13">
        <f>+AC84*'CSF Rates'!K$12</f>
        <v>0</v>
      </c>
      <c r="AP84" s="13">
        <f>+AD84*'CSF Rates'!L$12</f>
        <v>0</v>
      </c>
      <c r="AQ84" s="13">
        <f>+AE84*'CSF Rates'!M$12</f>
        <v>0</v>
      </c>
    </row>
    <row r="85" spans="1:43" x14ac:dyDescent="0.2">
      <c r="A85" s="1" t="s">
        <v>0</v>
      </c>
      <c r="B85" s="10" t="s">
        <v>63</v>
      </c>
      <c r="C85">
        <v>21172</v>
      </c>
      <c r="D85">
        <v>0</v>
      </c>
      <c r="E85" s="2" t="s">
        <v>13</v>
      </c>
      <c r="F85" s="27">
        <v>36525</v>
      </c>
      <c r="G85" s="28">
        <v>39172</v>
      </c>
      <c r="H85" s="12">
        <v>366</v>
      </c>
      <c r="I85" s="12">
        <v>365</v>
      </c>
      <c r="J85" s="12">
        <v>365</v>
      </c>
      <c r="K85" s="12">
        <v>365</v>
      </c>
      <c r="L85" s="12">
        <v>366</v>
      </c>
      <c r="M85" s="12">
        <v>365</v>
      </c>
      <c r="N85" s="12">
        <v>365</v>
      </c>
      <c r="O85" s="12">
        <f>G85-"12/31/06"</f>
        <v>90</v>
      </c>
      <c r="P85" s="12">
        <v>0</v>
      </c>
      <c r="Q85" s="12">
        <v>0</v>
      </c>
      <c r="R85" s="12">
        <v>0</v>
      </c>
      <c r="S85" s="12">
        <f t="shared" si="37"/>
        <v>2647</v>
      </c>
      <c r="T85" s="12">
        <f t="shared" si="38"/>
        <v>2647</v>
      </c>
      <c r="U85" s="12">
        <f t="shared" si="63"/>
        <v>0</v>
      </c>
      <c r="V85" s="12">
        <f t="shared" si="51"/>
        <v>0</v>
      </c>
      <c r="W85" s="12">
        <f t="shared" si="52"/>
        <v>0</v>
      </c>
      <c r="X85" s="12">
        <f t="shared" si="53"/>
        <v>0</v>
      </c>
      <c r="Y85" s="12">
        <f t="shared" si="55"/>
        <v>0</v>
      </c>
      <c r="Z85" s="12">
        <f t="shared" si="56"/>
        <v>0</v>
      </c>
      <c r="AA85" s="12">
        <f t="shared" si="57"/>
        <v>0</v>
      </c>
      <c r="AB85" s="12">
        <f t="shared" si="58"/>
        <v>0</v>
      </c>
      <c r="AC85" s="12">
        <f t="shared" si="59"/>
        <v>0</v>
      </c>
      <c r="AD85" s="12">
        <f t="shared" si="60"/>
        <v>0</v>
      </c>
      <c r="AE85" s="12">
        <f t="shared" si="61"/>
        <v>0</v>
      </c>
      <c r="AG85" s="13">
        <f>+U85*'CSF Rates'!C$12</f>
        <v>0</v>
      </c>
      <c r="AH85" s="13">
        <f>+V85*'CSF Rates'!D$12</f>
        <v>0</v>
      </c>
      <c r="AI85" s="13">
        <f>+W85*'CSF Rates'!E$12</f>
        <v>0</v>
      </c>
      <c r="AJ85" s="13">
        <f>+X85*'CSF Rates'!F$12</f>
        <v>0</v>
      </c>
      <c r="AK85" s="13">
        <f>+Y85*'CSF Rates'!G$12</f>
        <v>0</v>
      </c>
      <c r="AL85" s="13">
        <f>+Z85*'CSF Rates'!H$12</f>
        <v>0</v>
      </c>
      <c r="AM85" s="13">
        <f>+AA85*'CSF Rates'!I$12</f>
        <v>0</v>
      </c>
      <c r="AN85" s="13">
        <f>+AB85*'CSF Rates'!J$12</f>
        <v>0</v>
      </c>
      <c r="AO85" s="13">
        <f>+AC85*'CSF Rates'!K$12</f>
        <v>0</v>
      </c>
      <c r="AP85" s="13">
        <f>+AD85*'CSF Rates'!L$12</f>
        <v>0</v>
      </c>
      <c r="AQ85" s="13">
        <f>+AE85*'CSF Rates'!M$12</f>
        <v>0</v>
      </c>
    </row>
    <row r="86" spans="1:43" x14ac:dyDescent="0.2">
      <c r="A86" s="1" t="s">
        <v>0</v>
      </c>
      <c r="B86" s="10" t="s">
        <v>58</v>
      </c>
      <c r="C86">
        <v>27454</v>
      </c>
      <c r="D86">
        <v>27500</v>
      </c>
      <c r="E86" s="2" t="s">
        <v>13</v>
      </c>
      <c r="F86" s="27">
        <v>37256</v>
      </c>
      <c r="G86" s="11">
        <v>37621</v>
      </c>
      <c r="H86" s="12">
        <v>0</v>
      </c>
      <c r="I86" s="12">
        <v>0</v>
      </c>
      <c r="J86" s="12">
        <v>365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f t="shared" si="37"/>
        <v>365</v>
      </c>
      <c r="T86" s="12">
        <f t="shared" si="38"/>
        <v>365</v>
      </c>
      <c r="U86" s="12">
        <f t="shared" si="63"/>
        <v>0</v>
      </c>
      <c r="V86" s="12">
        <v>0</v>
      </c>
      <c r="W86" s="12">
        <f t="shared" si="52"/>
        <v>10037500</v>
      </c>
      <c r="X86" s="12">
        <f t="shared" si="53"/>
        <v>0</v>
      </c>
      <c r="Y86" s="12">
        <f t="shared" si="55"/>
        <v>0</v>
      </c>
      <c r="Z86" s="12">
        <f t="shared" si="56"/>
        <v>0</v>
      </c>
      <c r="AA86" s="12">
        <f t="shared" si="57"/>
        <v>0</v>
      </c>
      <c r="AB86" s="12">
        <f t="shared" si="58"/>
        <v>0</v>
      </c>
      <c r="AC86" s="12">
        <f t="shared" si="59"/>
        <v>0</v>
      </c>
      <c r="AD86" s="12">
        <f t="shared" si="60"/>
        <v>0</v>
      </c>
      <c r="AE86" s="12">
        <f t="shared" si="61"/>
        <v>0</v>
      </c>
      <c r="AG86" s="13">
        <f>+U86*'CSF Rates'!C$12</f>
        <v>0</v>
      </c>
      <c r="AH86" s="13">
        <f>+V86*'CSF Rates'!D$12</f>
        <v>0</v>
      </c>
      <c r="AI86" s="13">
        <f>+W86*'CSF Rates'!E$12</f>
        <v>1081718</v>
      </c>
      <c r="AJ86" s="13">
        <f>+X86*'CSF Rates'!F$12</f>
        <v>0</v>
      </c>
      <c r="AK86" s="13">
        <f>+Y86*'CSF Rates'!G$12</f>
        <v>0</v>
      </c>
      <c r="AL86" s="13">
        <f>+Z86*'CSF Rates'!H$12</f>
        <v>0</v>
      </c>
      <c r="AM86" s="13">
        <f>+AA86*'CSF Rates'!I$12</f>
        <v>0</v>
      </c>
      <c r="AN86" s="13">
        <f>+AB86*'CSF Rates'!J$12</f>
        <v>0</v>
      </c>
      <c r="AO86" s="13">
        <f>+AC86*'CSF Rates'!K$12</f>
        <v>0</v>
      </c>
      <c r="AP86" s="13">
        <f>+AD86*'CSF Rates'!L$12</f>
        <v>0</v>
      </c>
      <c r="AQ86" s="13">
        <f>+AE86*'CSF Rates'!M$12</f>
        <v>0</v>
      </c>
    </row>
    <row r="87" spans="1:43" x14ac:dyDescent="0.2">
      <c r="A87" s="1" t="s">
        <v>0</v>
      </c>
      <c r="B87" s="10" t="s">
        <v>18</v>
      </c>
      <c r="C87">
        <v>21375</v>
      </c>
      <c r="D87">
        <v>20000</v>
      </c>
      <c r="E87" s="2" t="s">
        <v>13</v>
      </c>
      <c r="F87" s="27">
        <v>36525</v>
      </c>
      <c r="G87" s="11">
        <v>39141</v>
      </c>
      <c r="H87" s="12">
        <v>366</v>
      </c>
      <c r="I87" s="12">
        <v>365</v>
      </c>
      <c r="J87" s="12">
        <v>365</v>
      </c>
      <c r="K87" s="12">
        <v>365</v>
      </c>
      <c r="L87" s="12">
        <v>366</v>
      </c>
      <c r="M87" s="12">
        <v>365</v>
      </c>
      <c r="N87" s="12">
        <v>365</v>
      </c>
      <c r="O87" s="12">
        <f>G87-"12/31/06"</f>
        <v>59</v>
      </c>
      <c r="P87" s="12">
        <v>0</v>
      </c>
      <c r="Q87" s="12">
        <v>0</v>
      </c>
      <c r="R87" s="12">
        <v>0</v>
      </c>
      <c r="S87" s="12">
        <f t="shared" si="37"/>
        <v>2616</v>
      </c>
      <c r="T87" s="12">
        <f t="shared" si="38"/>
        <v>2616</v>
      </c>
      <c r="U87" s="12">
        <f t="shared" si="63"/>
        <v>7320000</v>
      </c>
      <c r="V87" s="12">
        <f t="shared" si="51"/>
        <v>7300000</v>
      </c>
      <c r="W87" s="12">
        <f t="shared" si="52"/>
        <v>7300000</v>
      </c>
      <c r="X87" s="12">
        <f t="shared" si="53"/>
        <v>7300000</v>
      </c>
      <c r="Y87" s="12">
        <f t="shared" si="55"/>
        <v>7320000</v>
      </c>
      <c r="Z87" s="12">
        <f t="shared" si="56"/>
        <v>7300000</v>
      </c>
      <c r="AA87" s="12">
        <f t="shared" si="57"/>
        <v>7300000</v>
      </c>
      <c r="AB87" s="12">
        <f t="shared" si="58"/>
        <v>1180000</v>
      </c>
      <c r="AC87" s="12">
        <f t="shared" si="59"/>
        <v>0</v>
      </c>
      <c r="AD87" s="12">
        <f t="shared" si="60"/>
        <v>0</v>
      </c>
      <c r="AE87" s="12">
        <f t="shared" si="61"/>
        <v>0</v>
      </c>
      <c r="AG87" s="13">
        <f>+U87*'CSF Rates'!C$12</f>
        <v>757253.99999999988</v>
      </c>
      <c r="AH87" s="13">
        <f>+V87*'CSF Rates'!D$12</f>
        <v>770644</v>
      </c>
      <c r="AI87" s="13">
        <f>+W87*'CSF Rates'!E$12</f>
        <v>786704</v>
      </c>
      <c r="AJ87" s="13">
        <f>+X87*'CSF Rates'!F$12</f>
        <v>802764.00000000012</v>
      </c>
      <c r="AK87" s="13">
        <f>+Y87*'CSF Rates'!G$12</f>
        <v>821181.99999999988</v>
      </c>
      <c r="AL87" s="13">
        <f>+Z87*'CSF Rates'!H$12</f>
        <v>835736</v>
      </c>
      <c r="AM87" s="13">
        <f>+AA87*'CSF Rates'!I$12</f>
        <v>852648.00000000012</v>
      </c>
      <c r="AN87" s="13">
        <f>+AB87*'CSF Rates'!J$12</f>
        <v>140657.29315068494</v>
      </c>
      <c r="AO87" s="13">
        <f>+AC87*'CSF Rates'!K$12</f>
        <v>0</v>
      </c>
      <c r="AP87" s="13">
        <f>+AD87*'CSF Rates'!L$12</f>
        <v>0</v>
      </c>
      <c r="AQ87" s="13">
        <f>+AE87*'CSF Rates'!M$12</f>
        <v>0</v>
      </c>
    </row>
    <row r="88" spans="1:43" x14ac:dyDescent="0.2">
      <c r="A88" s="1" t="s">
        <v>0</v>
      </c>
      <c r="B88" s="10" t="s">
        <v>49</v>
      </c>
      <c r="C88">
        <v>26816</v>
      </c>
      <c r="D88">
        <v>21500</v>
      </c>
      <c r="E88" s="2" t="s">
        <v>13</v>
      </c>
      <c r="F88" s="27">
        <v>36646</v>
      </c>
      <c r="G88" s="11">
        <v>38472</v>
      </c>
      <c r="H88" s="12">
        <v>245</v>
      </c>
      <c r="I88" s="12">
        <v>365</v>
      </c>
      <c r="J88" s="12">
        <v>365</v>
      </c>
      <c r="K88" s="12">
        <v>365</v>
      </c>
      <c r="L88" s="12">
        <v>366</v>
      </c>
      <c r="M88" s="14">
        <f>G88-"12/31/2004"</f>
        <v>120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f t="shared" si="37"/>
        <v>1826</v>
      </c>
      <c r="T88" s="12">
        <f t="shared" si="38"/>
        <v>1826</v>
      </c>
      <c r="U88" s="12">
        <f t="shared" si="63"/>
        <v>5267500</v>
      </c>
      <c r="V88" s="12">
        <f t="shared" si="51"/>
        <v>7847500</v>
      </c>
      <c r="W88" s="12">
        <f t="shared" si="52"/>
        <v>7847500</v>
      </c>
      <c r="X88" s="12">
        <f t="shared" si="53"/>
        <v>7847500</v>
      </c>
      <c r="Y88" s="12">
        <f t="shared" si="55"/>
        <v>7869000</v>
      </c>
      <c r="Z88" s="12">
        <f t="shared" si="56"/>
        <v>2580000</v>
      </c>
      <c r="AA88" s="12">
        <f t="shared" si="57"/>
        <v>0</v>
      </c>
      <c r="AB88" s="12">
        <f t="shared" si="58"/>
        <v>0</v>
      </c>
      <c r="AC88" s="12">
        <f t="shared" si="59"/>
        <v>0</v>
      </c>
      <c r="AD88" s="12">
        <f t="shared" si="60"/>
        <v>0</v>
      </c>
      <c r="AE88" s="12">
        <f t="shared" si="61"/>
        <v>0</v>
      </c>
      <c r="AG88" s="13">
        <f>+U88*'CSF Rates'!C$12</f>
        <v>544922.87499999988</v>
      </c>
      <c r="AH88" s="13">
        <f>+V88*'CSF Rates'!D$12</f>
        <v>828442.3</v>
      </c>
      <c r="AI88" s="13">
        <f>+W88*'CSF Rates'!E$12</f>
        <v>845706.8</v>
      </c>
      <c r="AJ88" s="13">
        <f>+X88*'CSF Rates'!F$12</f>
        <v>862971.3</v>
      </c>
      <c r="AK88" s="13">
        <f>+Y88*'CSF Rates'!G$12</f>
        <v>882770.64999999991</v>
      </c>
      <c r="AL88" s="13">
        <f>+Z88*'CSF Rates'!H$12</f>
        <v>295369.70958904113</v>
      </c>
      <c r="AM88" s="13">
        <f>+AA88*'CSF Rates'!I$12</f>
        <v>0</v>
      </c>
      <c r="AN88" s="13">
        <f>+AB88*'CSF Rates'!J$12</f>
        <v>0</v>
      </c>
      <c r="AO88" s="13">
        <f>+AC88*'CSF Rates'!K$12</f>
        <v>0</v>
      </c>
      <c r="AP88" s="13">
        <f>+AD88*'CSF Rates'!L$12</f>
        <v>0</v>
      </c>
      <c r="AQ88" s="13">
        <f>+AE88*'CSF Rates'!M$12</f>
        <v>0</v>
      </c>
    </row>
    <row r="89" spans="1:43" x14ac:dyDescent="0.2">
      <c r="A89" s="1" t="s">
        <v>0</v>
      </c>
      <c r="B89" s="10" t="s">
        <v>49</v>
      </c>
      <c r="C89">
        <v>27504</v>
      </c>
      <c r="D89">
        <v>35000</v>
      </c>
      <c r="E89" s="2" t="s">
        <v>13</v>
      </c>
      <c r="F89" s="27">
        <v>37986</v>
      </c>
      <c r="G89" s="11">
        <v>38717</v>
      </c>
      <c r="H89" s="12">
        <v>0</v>
      </c>
      <c r="I89" s="12">
        <v>0</v>
      </c>
      <c r="J89" s="12">
        <v>0</v>
      </c>
      <c r="K89" s="12">
        <v>0</v>
      </c>
      <c r="L89" s="12">
        <v>366</v>
      </c>
      <c r="M89" s="14">
        <v>365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f t="shared" si="37"/>
        <v>731</v>
      </c>
      <c r="T89" s="12">
        <f t="shared" si="38"/>
        <v>731</v>
      </c>
      <c r="U89" s="12">
        <f t="shared" si="63"/>
        <v>0</v>
      </c>
      <c r="V89" s="12">
        <f t="shared" si="51"/>
        <v>0</v>
      </c>
      <c r="W89" s="12">
        <f t="shared" si="52"/>
        <v>0</v>
      </c>
      <c r="X89" s="12">
        <f t="shared" si="53"/>
        <v>0</v>
      </c>
      <c r="Y89" s="12">
        <f t="shared" si="55"/>
        <v>12810000</v>
      </c>
      <c r="Z89" s="12">
        <f t="shared" si="56"/>
        <v>12775000</v>
      </c>
      <c r="AA89" s="12">
        <f t="shared" si="57"/>
        <v>0</v>
      </c>
      <c r="AB89" s="12">
        <f t="shared" si="58"/>
        <v>0</v>
      </c>
      <c r="AC89" s="12">
        <f t="shared" si="59"/>
        <v>0</v>
      </c>
      <c r="AD89" s="12">
        <f t="shared" si="60"/>
        <v>0</v>
      </c>
      <c r="AE89" s="12">
        <f t="shared" si="61"/>
        <v>0</v>
      </c>
      <c r="AG89" s="13">
        <f>+U89*'CSF Rates'!C$12</f>
        <v>0</v>
      </c>
      <c r="AH89" s="13">
        <f>+V89*'CSF Rates'!D$12</f>
        <v>0</v>
      </c>
      <c r="AI89" s="13">
        <f>+W89*'CSF Rates'!E$12</f>
        <v>0</v>
      </c>
      <c r="AJ89" s="13">
        <f>+X89*'CSF Rates'!F$12</f>
        <v>0</v>
      </c>
      <c r="AK89" s="13">
        <f>+Y89*'CSF Rates'!G$12</f>
        <v>1437068.4999999998</v>
      </c>
      <c r="AL89" s="13">
        <f>+Z89*'CSF Rates'!H$12</f>
        <v>1462538</v>
      </c>
      <c r="AM89" s="13">
        <f>+AA89*'CSF Rates'!I$12</f>
        <v>0</v>
      </c>
      <c r="AN89" s="13">
        <f>+AB89*'CSF Rates'!J$12</f>
        <v>0</v>
      </c>
      <c r="AO89" s="13">
        <f>+AC89*'CSF Rates'!K$12</f>
        <v>0</v>
      </c>
      <c r="AP89" s="13">
        <f>+AD89*'CSF Rates'!L$12</f>
        <v>0</v>
      </c>
      <c r="AQ89" s="13">
        <f>+AE89*'CSF Rates'!M$12</f>
        <v>0</v>
      </c>
    </row>
    <row r="90" spans="1:43" x14ac:dyDescent="0.2">
      <c r="A90" s="1" t="s">
        <v>0</v>
      </c>
      <c r="B90" s="10" t="s">
        <v>23</v>
      </c>
      <c r="C90">
        <v>24670</v>
      </c>
      <c r="D90">
        <v>10000</v>
      </c>
      <c r="E90" s="2" t="s">
        <v>13</v>
      </c>
      <c r="F90" s="27">
        <v>36525</v>
      </c>
      <c r="G90" s="28">
        <v>39202</v>
      </c>
      <c r="H90" s="12">
        <v>366</v>
      </c>
      <c r="I90" s="12">
        <v>365</v>
      </c>
      <c r="J90" s="12">
        <v>365</v>
      </c>
      <c r="K90" s="12">
        <v>365</v>
      </c>
      <c r="L90" s="12">
        <v>366</v>
      </c>
      <c r="M90" s="12">
        <v>365</v>
      </c>
      <c r="N90" s="12">
        <v>365</v>
      </c>
      <c r="O90" s="12">
        <f>G90-"12/31/06"</f>
        <v>120</v>
      </c>
      <c r="P90" s="12">
        <v>0</v>
      </c>
      <c r="Q90" s="12">
        <v>0</v>
      </c>
      <c r="R90" s="12">
        <v>0</v>
      </c>
      <c r="S90" s="12">
        <f t="shared" si="37"/>
        <v>2677</v>
      </c>
      <c r="T90" s="12">
        <f t="shared" si="38"/>
        <v>2677</v>
      </c>
      <c r="U90" s="12">
        <f t="shared" si="63"/>
        <v>3660000</v>
      </c>
      <c r="V90" s="12">
        <f t="shared" si="51"/>
        <v>3650000</v>
      </c>
      <c r="W90" s="12">
        <f t="shared" si="52"/>
        <v>3650000</v>
      </c>
      <c r="X90" s="12">
        <f t="shared" si="53"/>
        <v>3650000</v>
      </c>
      <c r="Y90" s="12">
        <f t="shared" si="55"/>
        <v>3660000</v>
      </c>
      <c r="Z90" s="12">
        <f t="shared" si="56"/>
        <v>3650000</v>
      </c>
      <c r="AA90" s="12">
        <f t="shared" si="57"/>
        <v>3650000</v>
      </c>
      <c r="AB90" s="12">
        <f t="shared" si="58"/>
        <v>1200000</v>
      </c>
      <c r="AC90" s="12">
        <f t="shared" si="59"/>
        <v>0</v>
      </c>
      <c r="AD90" s="12">
        <f t="shared" si="60"/>
        <v>0</v>
      </c>
      <c r="AE90" s="12">
        <f t="shared" si="61"/>
        <v>0</v>
      </c>
      <c r="AG90" s="13">
        <f>+U90*'CSF Rates'!C$12</f>
        <v>378626.99999999994</v>
      </c>
      <c r="AH90" s="13">
        <f>+V90*'CSF Rates'!D$12</f>
        <v>385322</v>
      </c>
      <c r="AI90" s="13">
        <f>+W90*'CSF Rates'!E$12</f>
        <v>393352</v>
      </c>
      <c r="AJ90" s="13">
        <f>+X90*'CSF Rates'!F$12</f>
        <v>401382.00000000006</v>
      </c>
      <c r="AK90" s="13">
        <f>+Y90*'CSF Rates'!G$12</f>
        <v>410590.99999999994</v>
      </c>
      <c r="AL90" s="13">
        <f>+Z90*'CSF Rates'!H$12</f>
        <v>417868</v>
      </c>
      <c r="AM90" s="13">
        <f>+AA90*'CSF Rates'!I$12</f>
        <v>426324.00000000006</v>
      </c>
      <c r="AN90" s="13">
        <f>+AB90*'CSF Rates'!J$12</f>
        <v>143041.31506849316</v>
      </c>
      <c r="AO90" s="13">
        <f>+AC90*'CSF Rates'!K$12</f>
        <v>0</v>
      </c>
      <c r="AP90" s="13">
        <f>+AD90*'CSF Rates'!L$12</f>
        <v>0</v>
      </c>
      <c r="AQ90" s="13">
        <f>+AE90*'CSF Rates'!M$12</f>
        <v>0</v>
      </c>
    </row>
    <row r="91" spans="1:43" x14ac:dyDescent="0.2">
      <c r="A91" s="1" t="s">
        <v>0</v>
      </c>
      <c r="B91" s="10" t="s">
        <v>15</v>
      </c>
      <c r="C91">
        <v>20715</v>
      </c>
      <c r="D91">
        <v>200000</v>
      </c>
      <c r="E91" s="2" t="s">
        <v>13</v>
      </c>
      <c r="F91" s="27">
        <v>36525</v>
      </c>
      <c r="G91" s="28">
        <v>38656</v>
      </c>
      <c r="H91" s="12">
        <v>366</v>
      </c>
      <c r="I91" s="12">
        <v>365</v>
      </c>
      <c r="J91" s="12">
        <v>365</v>
      </c>
      <c r="K91" s="12">
        <v>365</v>
      </c>
      <c r="L91" s="12">
        <v>366</v>
      </c>
      <c r="M91" s="12">
        <f>G91-"12/31/04"</f>
        <v>304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f t="shared" si="37"/>
        <v>2131</v>
      </c>
      <c r="T91" s="12">
        <f t="shared" si="38"/>
        <v>2131</v>
      </c>
      <c r="U91" s="12">
        <f t="shared" si="63"/>
        <v>73200000</v>
      </c>
      <c r="V91" s="12">
        <f t="shared" si="51"/>
        <v>73000000</v>
      </c>
      <c r="W91" s="12">
        <f t="shared" si="52"/>
        <v>73000000</v>
      </c>
      <c r="X91" s="12">
        <f t="shared" si="53"/>
        <v>73000000</v>
      </c>
      <c r="Y91" s="12">
        <f t="shared" si="55"/>
        <v>73200000</v>
      </c>
      <c r="Z91" s="12">
        <f t="shared" si="56"/>
        <v>60800000</v>
      </c>
      <c r="AA91" s="12">
        <f t="shared" si="57"/>
        <v>0</v>
      </c>
      <c r="AB91" s="12">
        <f t="shared" si="58"/>
        <v>0</v>
      </c>
      <c r="AC91" s="12">
        <f t="shared" si="59"/>
        <v>0</v>
      </c>
      <c r="AD91" s="12">
        <f t="shared" si="60"/>
        <v>0</v>
      </c>
      <c r="AE91" s="12">
        <f t="shared" si="61"/>
        <v>0</v>
      </c>
      <c r="AG91" s="13">
        <f>+U91*'CSF Rates'!C$12</f>
        <v>7572539.9999999991</v>
      </c>
      <c r="AH91" s="13">
        <f>+V91*'CSF Rates'!D$12</f>
        <v>7706440.0000000009</v>
      </c>
      <c r="AI91" s="13">
        <f>+W91*'CSF Rates'!E$12</f>
        <v>7867040</v>
      </c>
      <c r="AJ91" s="13">
        <f>+X91*'CSF Rates'!F$12</f>
        <v>8027640.0000000009</v>
      </c>
      <c r="AK91" s="13">
        <f>+Y91*'CSF Rates'!G$12</f>
        <v>8211819.9999999991</v>
      </c>
      <c r="AL91" s="13">
        <f>+Z91*'CSF Rates'!H$12</f>
        <v>6960650.5205479451</v>
      </c>
      <c r="AM91" s="13">
        <f>+AA91*'CSF Rates'!I$12</f>
        <v>0</v>
      </c>
      <c r="AN91" s="13">
        <f>+AB91*'CSF Rates'!J$12</f>
        <v>0</v>
      </c>
      <c r="AO91" s="13">
        <f>+AC91*'CSF Rates'!K$12</f>
        <v>0</v>
      </c>
      <c r="AP91" s="13">
        <f>+AD91*'CSF Rates'!L$12</f>
        <v>0</v>
      </c>
      <c r="AQ91" s="13">
        <f>+AE91*'CSF Rates'!M$12</f>
        <v>0</v>
      </c>
    </row>
    <row r="92" spans="1:43" x14ac:dyDescent="0.2">
      <c r="A92" s="1" t="s">
        <v>0</v>
      </c>
      <c r="B92" s="10" t="s">
        <v>48</v>
      </c>
      <c r="C92">
        <v>26719</v>
      </c>
      <c r="D92">
        <v>25000</v>
      </c>
      <c r="E92" s="2" t="s">
        <v>13</v>
      </c>
      <c r="F92" s="27">
        <v>36646</v>
      </c>
      <c r="G92" s="11">
        <v>38472</v>
      </c>
      <c r="H92" s="14">
        <f>"1/1/2001"-"5/1/2000"</f>
        <v>245</v>
      </c>
      <c r="I92" s="12">
        <v>365</v>
      </c>
      <c r="J92" s="12">
        <v>365</v>
      </c>
      <c r="K92" s="12">
        <v>365</v>
      </c>
      <c r="L92" s="12">
        <v>366</v>
      </c>
      <c r="M92" s="14">
        <f>G92-"12/31/2004"</f>
        <v>120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f t="shared" si="37"/>
        <v>1826</v>
      </c>
      <c r="T92" s="12">
        <f t="shared" si="38"/>
        <v>1826</v>
      </c>
      <c r="U92" s="12">
        <f t="shared" si="63"/>
        <v>6125000</v>
      </c>
      <c r="V92" s="12">
        <f t="shared" si="51"/>
        <v>9125000</v>
      </c>
      <c r="W92" s="12">
        <f t="shared" si="52"/>
        <v>9125000</v>
      </c>
      <c r="X92" s="12">
        <f t="shared" si="53"/>
        <v>9125000</v>
      </c>
      <c r="Y92" s="12">
        <f t="shared" si="55"/>
        <v>9150000</v>
      </c>
      <c r="Z92" s="12">
        <f t="shared" si="56"/>
        <v>3000000</v>
      </c>
      <c r="AA92" s="12">
        <f t="shared" si="57"/>
        <v>0</v>
      </c>
      <c r="AB92" s="12">
        <f t="shared" si="58"/>
        <v>0</v>
      </c>
      <c r="AC92" s="12">
        <f t="shared" si="59"/>
        <v>0</v>
      </c>
      <c r="AD92" s="12">
        <f t="shared" si="60"/>
        <v>0</v>
      </c>
      <c r="AE92" s="12">
        <f t="shared" si="61"/>
        <v>0</v>
      </c>
      <c r="AG92" s="13">
        <f>+U92*'CSF Rates'!C$12</f>
        <v>633631.24999999988</v>
      </c>
      <c r="AH92" s="13">
        <f>+V92*'CSF Rates'!D$12</f>
        <v>963305.00000000012</v>
      </c>
      <c r="AI92" s="13">
        <f>+W92*'CSF Rates'!E$12</f>
        <v>983380</v>
      </c>
      <c r="AJ92" s="13">
        <f>+X92*'CSF Rates'!F$12</f>
        <v>1003455.0000000001</v>
      </c>
      <c r="AK92" s="13">
        <f>+Y92*'CSF Rates'!G$12</f>
        <v>1026477.4999999999</v>
      </c>
      <c r="AL92" s="13">
        <f>+Z92*'CSF Rates'!H$12</f>
        <v>343453.15068493149</v>
      </c>
      <c r="AM92" s="13">
        <f>+AA92*'CSF Rates'!I$12</f>
        <v>0</v>
      </c>
      <c r="AN92" s="13">
        <f>+AB92*'CSF Rates'!J$12</f>
        <v>0</v>
      </c>
      <c r="AO92" s="13">
        <f>+AC92*'CSF Rates'!K$12</f>
        <v>0</v>
      </c>
      <c r="AP92" s="13">
        <f>+AD92*'CSF Rates'!L$12</f>
        <v>0</v>
      </c>
      <c r="AQ92" s="13">
        <f>+AE92*'CSF Rates'!M$12</f>
        <v>0</v>
      </c>
    </row>
    <row r="93" spans="1:43" x14ac:dyDescent="0.2">
      <c r="A93" s="1" t="s">
        <v>0</v>
      </c>
      <c r="B93" s="10" t="s">
        <v>55</v>
      </c>
      <c r="C93">
        <v>26960</v>
      </c>
      <c r="D93">
        <v>20000</v>
      </c>
      <c r="E93" s="2" t="s">
        <v>13</v>
      </c>
      <c r="F93" s="27">
        <v>36525</v>
      </c>
      <c r="G93" s="11">
        <v>38077</v>
      </c>
      <c r="H93" s="12">
        <v>366</v>
      </c>
      <c r="I93" s="12">
        <v>365</v>
      </c>
      <c r="J93" s="12">
        <v>365</v>
      </c>
      <c r="K93" s="12">
        <v>365</v>
      </c>
      <c r="L93" s="12">
        <f>+G93-"12/31/03"</f>
        <v>91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2">
        <f t="shared" si="37"/>
        <v>1552</v>
      </c>
      <c r="T93" s="12">
        <f t="shared" si="38"/>
        <v>1552</v>
      </c>
      <c r="U93" s="12">
        <f t="shared" si="63"/>
        <v>7320000</v>
      </c>
      <c r="V93" s="12">
        <f t="shared" si="51"/>
        <v>7300000</v>
      </c>
      <c r="W93" s="12">
        <f t="shared" si="52"/>
        <v>7300000</v>
      </c>
      <c r="X93" s="12">
        <f t="shared" si="53"/>
        <v>7300000</v>
      </c>
      <c r="Y93" s="12">
        <f t="shared" si="55"/>
        <v>1820000</v>
      </c>
      <c r="Z93" s="12">
        <f t="shared" si="56"/>
        <v>0</v>
      </c>
      <c r="AA93" s="12">
        <f t="shared" si="57"/>
        <v>0</v>
      </c>
      <c r="AB93" s="12">
        <f t="shared" si="58"/>
        <v>0</v>
      </c>
      <c r="AC93" s="12">
        <f t="shared" si="59"/>
        <v>0</v>
      </c>
      <c r="AD93" s="12">
        <f t="shared" si="60"/>
        <v>0</v>
      </c>
      <c r="AE93" s="12">
        <f t="shared" si="61"/>
        <v>0</v>
      </c>
      <c r="AG93" s="13">
        <f>+U93*'CSF Rates'!C$12</f>
        <v>757253.99999999988</v>
      </c>
      <c r="AH93" s="13">
        <f>+V93*'CSF Rates'!D$12</f>
        <v>770644</v>
      </c>
      <c r="AI93" s="13">
        <f>+W93*'CSF Rates'!E$12</f>
        <v>786704</v>
      </c>
      <c r="AJ93" s="13">
        <f>+X93*'CSF Rates'!F$12</f>
        <v>802764.00000000012</v>
      </c>
      <c r="AK93" s="13">
        <f>+Y93*'CSF Rates'!G$12</f>
        <v>204173.66666666663</v>
      </c>
      <c r="AL93" s="13">
        <f>+Z93*'CSF Rates'!H$12</f>
        <v>0</v>
      </c>
      <c r="AM93" s="13">
        <f>+AA93*'CSF Rates'!I$12</f>
        <v>0</v>
      </c>
      <c r="AN93" s="13">
        <f>+AB93*'CSF Rates'!J$12</f>
        <v>0</v>
      </c>
      <c r="AO93" s="13">
        <f>+AC93*'CSF Rates'!K$12</f>
        <v>0</v>
      </c>
      <c r="AP93" s="13">
        <f>+AD93*'CSF Rates'!L$12</f>
        <v>0</v>
      </c>
      <c r="AQ93" s="13">
        <f>+AE93*'CSF Rates'!M$12</f>
        <v>0</v>
      </c>
    </row>
    <row r="94" spans="1:43" x14ac:dyDescent="0.2">
      <c r="A94" s="1" t="s">
        <v>0</v>
      </c>
      <c r="B94" s="10" t="s">
        <v>19</v>
      </c>
      <c r="C94">
        <v>24809</v>
      </c>
      <c r="D94">
        <v>20000</v>
      </c>
      <c r="E94" s="2" t="s">
        <v>13</v>
      </c>
      <c r="F94" s="27">
        <v>36525</v>
      </c>
      <c r="G94" s="11">
        <v>37225</v>
      </c>
      <c r="H94" s="12">
        <v>366</v>
      </c>
      <c r="I94" s="12">
        <f>G94-"12/31/00"</f>
        <v>334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f t="shared" si="37"/>
        <v>700</v>
      </c>
      <c r="T94" s="12">
        <f t="shared" si="38"/>
        <v>700</v>
      </c>
      <c r="U94" s="12">
        <f t="shared" si="63"/>
        <v>7320000</v>
      </c>
      <c r="V94" s="12">
        <f t="shared" si="51"/>
        <v>6680000</v>
      </c>
      <c r="W94" s="12">
        <f t="shared" si="52"/>
        <v>0</v>
      </c>
      <c r="X94" s="12">
        <f t="shared" si="53"/>
        <v>0</v>
      </c>
      <c r="Y94" s="12">
        <f t="shared" si="55"/>
        <v>0</v>
      </c>
      <c r="Z94" s="12">
        <f t="shared" si="56"/>
        <v>0</v>
      </c>
      <c r="AA94" s="12">
        <f t="shared" si="57"/>
        <v>0</v>
      </c>
      <c r="AB94" s="12">
        <f t="shared" si="58"/>
        <v>0</v>
      </c>
      <c r="AC94" s="12">
        <f t="shared" si="59"/>
        <v>0</v>
      </c>
      <c r="AD94" s="12">
        <f t="shared" si="60"/>
        <v>0</v>
      </c>
      <c r="AE94" s="12">
        <f t="shared" si="61"/>
        <v>0</v>
      </c>
      <c r="AG94" s="13">
        <f>+U94*'CSF Rates'!C$12</f>
        <v>757253.99999999988</v>
      </c>
      <c r="AH94" s="13">
        <f>+V94*'CSF Rates'!D$12</f>
        <v>705192.04383561644</v>
      </c>
      <c r="AI94" s="13">
        <f>+W94*'CSF Rates'!E$12</f>
        <v>0</v>
      </c>
      <c r="AJ94" s="13">
        <f>+X94*'CSF Rates'!F$12</f>
        <v>0</v>
      </c>
      <c r="AK94" s="13">
        <f>+Y94*'CSF Rates'!G$12</f>
        <v>0</v>
      </c>
      <c r="AL94" s="13">
        <f>+Z94*'CSF Rates'!H$12</f>
        <v>0</v>
      </c>
      <c r="AM94" s="13">
        <f>+AA94*'CSF Rates'!I$12</f>
        <v>0</v>
      </c>
      <c r="AN94" s="13">
        <f>+AB94*'CSF Rates'!J$12</f>
        <v>0</v>
      </c>
      <c r="AO94" s="13">
        <f>+AC94*'CSF Rates'!K$12</f>
        <v>0</v>
      </c>
      <c r="AP94" s="13">
        <f>+AD94*'CSF Rates'!L$12</f>
        <v>0</v>
      </c>
      <c r="AQ94" s="13">
        <f>+AE94*'CSF Rates'!M$12</f>
        <v>0</v>
      </c>
    </row>
    <row r="95" spans="1:43" x14ac:dyDescent="0.2">
      <c r="A95" s="1" t="s">
        <v>72</v>
      </c>
      <c r="B95" s="10" t="s">
        <v>32</v>
      </c>
      <c r="C95" s="29">
        <v>26490</v>
      </c>
      <c r="D95">
        <v>70000</v>
      </c>
      <c r="E95" s="2">
        <v>0.14000000000000001</v>
      </c>
      <c r="F95" s="27">
        <v>36100</v>
      </c>
      <c r="G95" s="11">
        <v>37925</v>
      </c>
      <c r="H95" s="35">
        <v>366</v>
      </c>
      <c r="I95" s="35">
        <v>365</v>
      </c>
      <c r="J95" s="35">
        <v>365</v>
      </c>
      <c r="K95" s="35">
        <f>+G95-"12/31/02"</f>
        <v>304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12"/>
      <c r="T95" s="17"/>
      <c r="U95" s="12">
        <f t="shared" si="63"/>
        <v>25620000</v>
      </c>
      <c r="V95" s="12">
        <f t="shared" si="51"/>
        <v>25550000</v>
      </c>
      <c r="W95" s="12">
        <f t="shared" si="52"/>
        <v>25550000</v>
      </c>
      <c r="X95" s="12">
        <f t="shared" si="53"/>
        <v>21280000</v>
      </c>
      <c r="Y95" s="12">
        <f>+L95*$D95</f>
        <v>0</v>
      </c>
      <c r="Z95" s="12">
        <f>+M95*$D95</f>
        <v>0</v>
      </c>
      <c r="AA95" s="12">
        <f t="shared" si="57"/>
        <v>0</v>
      </c>
      <c r="AB95" s="12">
        <f t="shared" si="58"/>
        <v>0</v>
      </c>
      <c r="AC95" s="12">
        <f t="shared" si="59"/>
        <v>0</v>
      </c>
      <c r="AD95" s="12">
        <f t="shared" si="60"/>
        <v>0</v>
      </c>
      <c r="AE95" s="12">
        <f t="shared" si="61"/>
        <v>0</v>
      </c>
      <c r="AG95" s="13">
        <f t="shared" ref="AG95:AQ95" si="64">+U95*$E95</f>
        <v>3586800.0000000005</v>
      </c>
      <c r="AH95" s="13">
        <f t="shared" si="64"/>
        <v>3577000.0000000005</v>
      </c>
      <c r="AI95" s="13">
        <f t="shared" si="64"/>
        <v>3577000.0000000005</v>
      </c>
      <c r="AJ95" s="13">
        <f t="shared" si="64"/>
        <v>2979200.0000000005</v>
      </c>
      <c r="AK95" s="13">
        <f t="shared" si="64"/>
        <v>0</v>
      </c>
      <c r="AL95" s="13">
        <f t="shared" si="64"/>
        <v>0</v>
      </c>
      <c r="AM95" s="13">
        <f t="shared" si="64"/>
        <v>0</v>
      </c>
      <c r="AN95" s="13">
        <f t="shared" si="64"/>
        <v>0</v>
      </c>
      <c r="AO95" s="13">
        <f t="shared" si="64"/>
        <v>0</v>
      </c>
      <c r="AP95" s="13">
        <f t="shared" si="64"/>
        <v>0</v>
      </c>
      <c r="AQ95" s="13">
        <f t="shared" si="64"/>
        <v>0</v>
      </c>
    </row>
    <row r="96" spans="1:43" x14ac:dyDescent="0.2">
      <c r="A96" s="1" t="s">
        <v>72</v>
      </c>
      <c r="B96" s="10" t="s">
        <v>50</v>
      </c>
      <c r="C96">
        <v>25700</v>
      </c>
      <c r="D96">
        <v>25000</v>
      </c>
      <c r="E96" s="2" t="s">
        <v>13</v>
      </c>
      <c r="F96" s="27">
        <v>36525</v>
      </c>
      <c r="G96" s="11">
        <v>37621</v>
      </c>
      <c r="H96" s="12">
        <v>366</v>
      </c>
      <c r="I96" s="12">
        <v>365</v>
      </c>
      <c r="J96" s="12">
        <v>365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f>+G96-F96</f>
        <v>1096</v>
      </c>
      <c r="T96" s="12">
        <f>SUM(H96:R96)</f>
        <v>1096</v>
      </c>
      <c r="U96" s="12">
        <f t="shared" ref="U96:U128" si="65">+H96*$D96</f>
        <v>9150000</v>
      </c>
      <c r="V96" s="12">
        <f t="shared" si="51"/>
        <v>9125000</v>
      </c>
      <c r="W96" s="12">
        <f t="shared" si="52"/>
        <v>9125000</v>
      </c>
      <c r="X96" s="12">
        <f t="shared" si="53"/>
        <v>0</v>
      </c>
      <c r="Y96" s="12">
        <f t="shared" si="55"/>
        <v>0</v>
      </c>
      <c r="Z96" s="12">
        <f t="shared" si="56"/>
        <v>0</v>
      </c>
      <c r="AA96" s="12">
        <f t="shared" si="57"/>
        <v>0</v>
      </c>
      <c r="AB96" s="12">
        <f t="shared" si="58"/>
        <v>0</v>
      </c>
      <c r="AC96" s="12">
        <f t="shared" si="59"/>
        <v>0</v>
      </c>
      <c r="AD96" s="12">
        <f t="shared" si="60"/>
        <v>0</v>
      </c>
      <c r="AE96" s="12">
        <f t="shared" si="61"/>
        <v>0</v>
      </c>
      <c r="AG96" s="13">
        <f>+U96*'CSF Rates'!C$12</f>
        <v>946567.49999999988</v>
      </c>
      <c r="AH96" s="13">
        <f>+V96*'CSF Rates'!D$12</f>
        <v>963305.00000000012</v>
      </c>
      <c r="AI96" s="13">
        <f>+W96*'CSF Rates'!E$12</f>
        <v>983380</v>
      </c>
      <c r="AJ96" s="13">
        <f>+X96*'CSF Rates'!F$12</f>
        <v>0</v>
      </c>
      <c r="AK96" s="13">
        <f>+Y96*'CSF Rates'!G$12</f>
        <v>0</v>
      </c>
      <c r="AL96" s="13">
        <f>+Z96*'CSF Rates'!H$12</f>
        <v>0</v>
      </c>
      <c r="AM96" s="13">
        <f>+AA96*'CSF Rates'!I$12</f>
        <v>0</v>
      </c>
      <c r="AN96" s="13">
        <f>+AB96*'CSF Rates'!J$12</f>
        <v>0</v>
      </c>
      <c r="AO96" s="13">
        <f>+AC96*'CSF Rates'!K$12</f>
        <v>0</v>
      </c>
      <c r="AP96" s="13">
        <f>+AD96*'CSF Rates'!L$12</f>
        <v>0</v>
      </c>
      <c r="AQ96" s="13">
        <f>+AE96*'CSF Rates'!M$12</f>
        <v>0</v>
      </c>
    </row>
    <row r="97" spans="1:43" x14ac:dyDescent="0.2">
      <c r="A97" s="1" t="s">
        <v>72</v>
      </c>
      <c r="B97" s="10" t="s">
        <v>76</v>
      </c>
      <c r="C97">
        <v>25071</v>
      </c>
      <c r="D97">
        <v>90000</v>
      </c>
      <c r="E97" s="2" t="s">
        <v>13</v>
      </c>
      <c r="F97" s="27">
        <v>35400</v>
      </c>
      <c r="G97" s="11">
        <v>39782</v>
      </c>
      <c r="H97" s="12">
        <v>366</v>
      </c>
      <c r="I97" s="12">
        <v>365</v>
      </c>
      <c r="J97" s="12">
        <v>365</v>
      </c>
      <c r="K97" s="12">
        <v>365</v>
      </c>
      <c r="L97" s="12">
        <v>366</v>
      </c>
      <c r="M97" s="12">
        <v>365</v>
      </c>
      <c r="N97" s="12">
        <v>365</v>
      </c>
      <c r="O97" s="12">
        <v>365</v>
      </c>
      <c r="P97" s="12">
        <f>G97-"12/31/07"</f>
        <v>335</v>
      </c>
      <c r="Q97" s="12">
        <v>0</v>
      </c>
      <c r="R97" s="12">
        <v>0</v>
      </c>
      <c r="S97" s="12"/>
      <c r="T97" s="17"/>
      <c r="U97" s="12">
        <f t="shared" si="65"/>
        <v>32940000</v>
      </c>
      <c r="V97" s="12">
        <f t="shared" si="51"/>
        <v>32850000</v>
      </c>
      <c r="W97" s="12">
        <f t="shared" si="52"/>
        <v>32850000</v>
      </c>
      <c r="X97" s="12">
        <f t="shared" si="53"/>
        <v>32850000</v>
      </c>
      <c r="Y97" s="12">
        <f t="shared" si="55"/>
        <v>32940000</v>
      </c>
      <c r="Z97" s="12">
        <f t="shared" si="56"/>
        <v>32850000</v>
      </c>
      <c r="AA97" s="12">
        <f t="shared" si="57"/>
        <v>32850000</v>
      </c>
      <c r="AB97" s="12">
        <f t="shared" si="58"/>
        <v>32850000</v>
      </c>
      <c r="AC97" s="12">
        <f t="shared" si="59"/>
        <v>30150000</v>
      </c>
      <c r="AD97" s="12">
        <f t="shared" si="60"/>
        <v>0</v>
      </c>
      <c r="AE97" s="12">
        <f t="shared" si="61"/>
        <v>0</v>
      </c>
      <c r="AG97" s="13" t="e">
        <f>+U97*'CSF Rates'!#REF!</f>
        <v>#REF!</v>
      </c>
      <c r="AH97" s="13" t="e">
        <f>+V97*'CSF Rates'!#REF!</f>
        <v>#REF!</v>
      </c>
      <c r="AI97" s="13" t="e">
        <f>+W97*'CSF Rates'!#REF!</f>
        <v>#REF!</v>
      </c>
      <c r="AJ97" s="13" t="e">
        <f>+X97*'CSF Rates'!#REF!</f>
        <v>#REF!</v>
      </c>
      <c r="AK97" s="13" t="e">
        <f>+Y97*'CSF Rates'!#REF!</f>
        <v>#REF!</v>
      </c>
      <c r="AL97" s="13" t="e">
        <f>+Z97*'CSF Rates'!#REF!</f>
        <v>#REF!</v>
      </c>
      <c r="AM97" s="13" t="e">
        <f>+AA97*'CSF Rates'!#REF!</f>
        <v>#REF!</v>
      </c>
      <c r="AN97" s="13" t="e">
        <f>+AB97*'CSF Rates'!#REF!</f>
        <v>#REF!</v>
      </c>
      <c r="AO97" s="13" t="e">
        <f>+AC97*'CSF Rates'!#REF!</f>
        <v>#REF!</v>
      </c>
      <c r="AP97" s="13" t="e">
        <f>+AD97*'CSF Rates'!#REF!</f>
        <v>#REF!</v>
      </c>
      <c r="AQ97" s="13" t="e">
        <f>+AE97*'CSF Rates'!#REF!</f>
        <v>#REF!</v>
      </c>
    </row>
    <row r="98" spans="1:43" x14ac:dyDescent="0.2">
      <c r="A98" s="1" t="s">
        <v>72</v>
      </c>
      <c r="B98" s="10" t="s">
        <v>70</v>
      </c>
      <c r="C98" s="31">
        <v>27334</v>
      </c>
      <c r="D98">
        <v>14000</v>
      </c>
      <c r="E98" s="2"/>
      <c r="F98" s="27">
        <v>36982</v>
      </c>
      <c r="G98" s="11">
        <v>37195</v>
      </c>
      <c r="H98" s="35">
        <v>0</v>
      </c>
      <c r="I98" s="35">
        <f>"11/1/01"-F98</f>
        <v>214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3"/>
      <c r="T98" s="17"/>
      <c r="U98" s="12">
        <f t="shared" si="65"/>
        <v>0</v>
      </c>
      <c r="V98" s="12">
        <f t="shared" si="51"/>
        <v>2996000</v>
      </c>
      <c r="W98" s="12">
        <f t="shared" si="52"/>
        <v>0</v>
      </c>
      <c r="X98" s="12">
        <f t="shared" si="53"/>
        <v>0</v>
      </c>
      <c r="Y98" s="12">
        <f t="shared" si="55"/>
        <v>0</v>
      </c>
      <c r="Z98" s="12">
        <f t="shared" si="56"/>
        <v>0</v>
      </c>
      <c r="AA98" s="12">
        <f t="shared" si="57"/>
        <v>0</v>
      </c>
      <c r="AB98" s="12">
        <f t="shared" si="58"/>
        <v>0</v>
      </c>
      <c r="AC98" s="12">
        <f t="shared" si="59"/>
        <v>0</v>
      </c>
      <c r="AD98" s="12">
        <f t="shared" si="60"/>
        <v>0</v>
      </c>
      <c r="AE98" s="12">
        <f t="shared" si="61"/>
        <v>0</v>
      </c>
      <c r="AG98" s="13">
        <f t="shared" ref="AG98:AQ100" si="66">+U98*$E98</f>
        <v>0</v>
      </c>
      <c r="AH98" s="13">
        <f t="shared" si="66"/>
        <v>0</v>
      </c>
      <c r="AI98" s="13">
        <f t="shared" si="66"/>
        <v>0</v>
      </c>
      <c r="AJ98" s="13">
        <f t="shared" si="66"/>
        <v>0</v>
      </c>
      <c r="AK98" s="13">
        <f t="shared" si="66"/>
        <v>0</v>
      </c>
      <c r="AL98" s="13">
        <f t="shared" si="66"/>
        <v>0</v>
      </c>
      <c r="AM98" s="13">
        <f t="shared" si="66"/>
        <v>0</v>
      </c>
      <c r="AN98" s="13">
        <f t="shared" si="66"/>
        <v>0</v>
      </c>
      <c r="AO98" s="13">
        <f t="shared" si="66"/>
        <v>0</v>
      </c>
      <c r="AP98" s="13">
        <f t="shared" si="66"/>
        <v>0</v>
      </c>
      <c r="AQ98" s="13">
        <f t="shared" si="66"/>
        <v>0</v>
      </c>
    </row>
    <row r="99" spans="1:43" x14ac:dyDescent="0.2">
      <c r="A99" s="1" t="s">
        <v>72</v>
      </c>
      <c r="B99" s="10" t="s">
        <v>31</v>
      </c>
      <c r="C99" s="29">
        <v>26683</v>
      </c>
      <c r="D99">
        <v>8000</v>
      </c>
      <c r="E99" s="2">
        <v>0.152</v>
      </c>
      <c r="F99" s="27">
        <v>36220</v>
      </c>
      <c r="G99" s="11">
        <v>37711</v>
      </c>
      <c r="H99" s="35">
        <v>366</v>
      </c>
      <c r="I99" s="35">
        <v>365</v>
      </c>
      <c r="J99" s="35">
        <v>365</v>
      </c>
      <c r="K99" s="35">
        <f>+G99-"12/31/02"</f>
        <v>90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12"/>
      <c r="T99" s="17"/>
      <c r="U99" s="12">
        <f t="shared" si="65"/>
        <v>2928000</v>
      </c>
      <c r="V99" s="12">
        <f t="shared" si="51"/>
        <v>2920000</v>
      </c>
      <c r="W99" s="12">
        <f t="shared" si="52"/>
        <v>2920000</v>
      </c>
      <c r="X99" s="12">
        <f t="shared" si="53"/>
        <v>720000</v>
      </c>
      <c r="Y99" s="12">
        <f t="shared" si="55"/>
        <v>0</v>
      </c>
      <c r="Z99" s="12">
        <f t="shared" si="56"/>
        <v>0</v>
      </c>
      <c r="AA99" s="12">
        <f t="shared" si="57"/>
        <v>0</v>
      </c>
      <c r="AB99" s="12">
        <f t="shared" si="58"/>
        <v>0</v>
      </c>
      <c r="AC99" s="12">
        <f t="shared" si="59"/>
        <v>0</v>
      </c>
      <c r="AD99" s="12">
        <f t="shared" si="60"/>
        <v>0</v>
      </c>
      <c r="AE99" s="12">
        <f t="shared" si="61"/>
        <v>0</v>
      </c>
      <c r="AG99" s="13">
        <f t="shared" si="66"/>
        <v>445056</v>
      </c>
      <c r="AH99" s="13">
        <f t="shared" si="66"/>
        <v>443840</v>
      </c>
      <c r="AI99" s="13">
        <f t="shared" si="66"/>
        <v>443840</v>
      </c>
      <c r="AJ99" s="13">
        <f t="shared" si="66"/>
        <v>109440</v>
      </c>
      <c r="AK99" s="13">
        <f t="shared" si="66"/>
        <v>0</v>
      </c>
      <c r="AL99" s="13">
        <f t="shared" si="66"/>
        <v>0</v>
      </c>
      <c r="AM99" s="13">
        <f t="shared" si="66"/>
        <v>0</v>
      </c>
      <c r="AN99" s="13">
        <f t="shared" si="66"/>
        <v>0</v>
      </c>
      <c r="AO99" s="13">
        <f t="shared" si="66"/>
        <v>0</v>
      </c>
      <c r="AP99" s="13">
        <f t="shared" si="66"/>
        <v>0</v>
      </c>
      <c r="AQ99" s="13">
        <f t="shared" si="66"/>
        <v>0</v>
      </c>
    </row>
    <row r="100" spans="1:43" x14ac:dyDescent="0.2">
      <c r="A100" s="1" t="s">
        <v>72</v>
      </c>
      <c r="B100" s="10" t="s">
        <v>11</v>
      </c>
      <c r="C100">
        <v>24736</v>
      </c>
      <c r="D100">
        <v>4000</v>
      </c>
      <c r="E100" s="2">
        <v>7.0000000000000007E-2</v>
      </c>
      <c r="F100" s="2"/>
      <c r="G100" s="11">
        <v>36616</v>
      </c>
      <c r="H100" s="12">
        <f>G100-"12/31/99"</f>
        <v>91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/>
      <c r="T100" s="17"/>
      <c r="U100" s="12">
        <f t="shared" si="65"/>
        <v>364000</v>
      </c>
      <c r="V100" s="12">
        <f t="shared" si="51"/>
        <v>0</v>
      </c>
      <c r="W100" s="12">
        <f t="shared" si="52"/>
        <v>0</v>
      </c>
      <c r="X100" s="12">
        <f t="shared" si="53"/>
        <v>0</v>
      </c>
      <c r="Y100" s="12">
        <f t="shared" si="55"/>
        <v>0</v>
      </c>
      <c r="Z100" s="12">
        <f t="shared" si="56"/>
        <v>0</v>
      </c>
      <c r="AA100" s="12">
        <f t="shared" si="57"/>
        <v>0</v>
      </c>
      <c r="AB100" s="12">
        <f t="shared" si="58"/>
        <v>0</v>
      </c>
      <c r="AC100" s="12">
        <f t="shared" si="59"/>
        <v>0</v>
      </c>
      <c r="AD100" s="12">
        <f t="shared" si="60"/>
        <v>0</v>
      </c>
      <c r="AE100" s="12">
        <f t="shared" si="61"/>
        <v>0</v>
      </c>
      <c r="AG100" s="13">
        <f t="shared" si="66"/>
        <v>25480.000000000004</v>
      </c>
      <c r="AH100" s="13">
        <f t="shared" si="66"/>
        <v>0</v>
      </c>
      <c r="AI100" s="13">
        <f t="shared" si="66"/>
        <v>0</v>
      </c>
      <c r="AJ100" s="13">
        <f t="shared" si="66"/>
        <v>0</v>
      </c>
      <c r="AK100" s="13">
        <f t="shared" si="66"/>
        <v>0</v>
      </c>
      <c r="AL100" s="13">
        <f t="shared" si="66"/>
        <v>0</v>
      </c>
      <c r="AM100" s="13">
        <f t="shared" si="66"/>
        <v>0</v>
      </c>
      <c r="AN100" s="13">
        <f t="shared" si="66"/>
        <v>0</v>
      </c>
      <c r="AO100" s="13">
        <f t="shared" si="66"/>
        <v>0</v>
      </c>
      <c r="AP100" s="13">
        <f t="shared" si="66"/>
        <v>0</v>
      </c>
      <c r="AQ100" s="13">
        <f t="shared" si="66"/>
        <v>0</v>
      </c>
    </row>
    <row r="101" spans="1:43" x14ac:dyDescent="0.2">
      <c r="A101" s="1" t="s">
        <v>72</v>
      </c>
      <c r="B101" s="10" t="s">
        <v>59</v>
      </c>
      <c r="C101">
        <v>27458</v>
      </c>
      <c r="D101">
        <v>14000</v>
      </c>
      <c r="E101" s="2" t="s">
        <v>13</v>
      </c>
      <c r="F101" s="27">
        <v>37621</v>
      </c>
      <c r="G101" s="11">
        <v>38717</v>
      </c>
      <c r="H101" s="12">
        <v>0</v>
      </c>
      <c r="I101" s="12">
        <v>0</v>
      </c>
      <c r="J101" s="12">
        <v>0</v>
      </c>
      <c r="K101" s="12">
        <v>365</v>
      </c>
      <c r="L101" s="12">
        <v>366</v>
      </c>
      <c r="M101" s="14">
        <f>+G101-"12/31/04"</f>
        <v>365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f>+G101-F101</f>
        <v>1096</v>
      </c>
      <c r="T101" s="12">
        <f>SUM(H101:R101)</f>
        <v>1096</v>
      </c>
      <c r="U101" s="12">
        <f t="shared" si="65"/>
        <v>0</v>
      </c>
      <c r="V101" s="12">
        <f t="shared" si="51"/>
        <v>0</v>
      </c>
      <c r="W101" s="12">
        <f t="shared" si="52"/>
        <v>0</v>
      </c>
      <c r="X101" s="12">
        <f t="shared" si="53"/>
        <v>5110000</v>
      </c>
      <c r="Y101" s="12">
        <f t="shared" si="55"/>
        <v>5124000</v>
      </c>
      <c r="Z101" s="12">
        <f t="shared" si="56"/>
        <v>5110000</v>
      </c>
      <c r="AA101" s="12">
        <f t="shared" si="57"/>
        <v>0</v>
      </c>
      <c r="AB101" s="12">
        <f t="shared" si="58"/>
        <v>0</v>
      </c>
      <c r="AC101" s="12">
        <f t="shared" si="59"/>
        <v>0</v>
      </c>
      <c r="AD101" s="12">
        <f t="shared" si="60"/>
        <v>0</v>
      </c>
      <c r="AE101" s="12">
        <f t="shared" si="61"/>
        <v>0</v>
      </c>
      <c r="AG101" s="13">
        <f>+U101*'CSF Rates'!C$12</f>
        <v>0</v>
      </c>
      <c r="AH101" s="13">
        <f>+V101*'CSF Rates'!D$12</f>
        <v>0</v>
      </c>
      <c r="AI101" s="13">
        <f>+W101*'CSF Rates'!E$12</f>
        <v>0</v>
      </c>
      <c r="AJ101" s="13">
        <f>+X101*'CSF Rates'!F$12</f>
        <v>561934.80000000005</v>
      </c>
      <c r="AK101" s="13">
        <f>+Y101*'CSF Rates'!G$12</f>
        <v>574827.39999999991</v>
      </c>
      <c r="AL101" s="13">
        <f>+Z101*'CSF Rates'!H$12</f>
        <v>585015.19999999995</v>
      </c>
      <c r="AM101" s="13">
        <f>+AA101*'CSF Rates'!I$12</f>
        <v>0</v>
      </c>
      <c r="AN101" s="13">
        <f>+AB101*'CSF Rates'!J$12</f>
        <v>0</v>
      </c>
      <c r="AO101" s="13">
        <f>+AC101*'CSF Rates'!K$12</f>
        <v>0</v>
      </c>
      <c r="AP101" s="13">
        <f>+AD101*'CSF Rates'!L$12</f>
        <v>0</v>
      </c>
      <c r="AQ101" s="13">
        <f>+AE101*'CSF Rates'!M$12</f>
        <v>0</v>
      </c>
    </row>
    <row r="102" spans="1:43" x14ac:dyDescent="0.2">
      <c r="A102" s="1" t="s">
        <v>72</v>
      </c>
      <c r="B102" s="10" t="s">
        <v>35</v>
      </c>
      <c r="C102">
        <v>26520</v>
      </c>
      <c r="D102">
        <v>25000</v>
      </c>
      <c r="E102" s="2" t="s">
        <v>13</v>
      </c>
      <c r="F102" s="27">
        <v>33664</v>
      </c>
      <c r="G102" s="11">
        <v>39141</v>
      </c>
      <c r="H102" s="12">
        <v>366</v>
      </c>
      <c r="I102" s="12">
        <v>365</v>
      </c>
      <c r="J102" s="12">
        <v>365</v>
      </c>
      <c r="K102" s="12">
        <v>365</v>
      </c>
      <c r="L102" s="12">
        <v>366</v>
      </c>
      <c r="M102" s="12">
        <v>365</v>
      </c>
      <c r="N102" s="12">
        <v>365</v>
      </c>
      <c r="O102" s="12">
        <f>G102-"12/31/06"</f>
        <v>59</v>
      </c>
      <c r="P102" s="12">
        <v>0</v>
      </c>
      <c r="Q102" s="12">
        <v>0</v>
      </c>
      <c r="R102" s="12">
        <v>0</v>
      </c>
      <c r="S102" s="12"/>
      <c r="T102" s="17"/>
      <c r="U102" s="12">
        <f t="shared" si="65"/>
        <v>9150000</v>
      </c>
      <c r="V102" s="12">
        <f t="shared" si="51"/>
        <v>9125000</v>
      </c>
      <c r="W102" s="12">
        <f t="shared" si="52"/>
        <v>9125000</v>
      </c>
      <c r="X102" s="12">
        <f t="shared" si="53"/>
        <v>9125000</v>
      </c>
      <c r="Y102" s="12">
        <f t="shared" si="55"/>
        <v>9150000</v>
      </c>
      <c r="Z102" s="12">
        <f t="shared" si="56"/>
        <v>9125000</v>
      </c>
      <c r="AA102" s="12">
        <f t="shared" si="57"/>
        <v>9125000</v>
      </c>
      <c r="AB102" s="12">
        <f t="shared" si="58"/>
        <v>1475000</v>
      </c>
      <c r="AC102" s="12">
        <f t="shared" si="59"/>
        <v>0</v>
      </c>
      <c r="AD102" s="12">
        <f t="shared" si="60"/>
        <v>0</v>
      </c>
      <c r="AE102" s="12">
        <f t="shared" si="61"/>
        <v>0</v>
      </c>
      <c r="AG102" s="13">
        <f>+U102*'CSF Rates'!C15</f>
        <v>2087645.6999999997</v>
      </c>
      <c r="AH102" s="13">
        <f>+V102*'CSF Rates'!D15</f>
        <v>2123599.9139999999</v>
      </c>
      <c r="AI102" s="13">
        <f>+W102*'CSF Rates'!E15</f>
        <v>2166071.9122799998</v>
      </c>
      <c r="AJ102" s="13">
        <f>+X102*'CSF Rates'!F15</f>
        <v>2209393.3505255999</v>
      </c>
      <c r="AK102" s="13">
        <f>+Y102*'CSF Rates'!G15</f>
        <v>2259734.8443657118</v>
      </c>
      <c r="AL102" s="13">
        <f>+Z102*'CSF Rates'!H15</f>
        <v>2298652.8418868342</v>
      </c>
      <c r="AM102" s="13">
        <f>+AA102*'CSF Rates'!I15</f>
        <v>2344625.8987245713</v>
      </c>
      <c r="AN102" s="13">
        <f>+AB102*'CSF Rates'!J15</f>
        <v>386574.20982258819</v>
      </c>
      <c r="AO102" s="13">
        <f>+AC102*'CSF Rates'!K15</f>
        <v>0</v>
      </c>
      <c r="AP102" s="13">
        <f>+AD102*'CSF Rates'!L15</f>
        <v>0</v>
      </c>
      <c r="AQ102" s="13">
        <f>+AE102*'CSF Rates'!M15</f>
        <v>0</v>
      </c>
    </row>
    <row r="103" spans="1:43" x14ac:dyDescent="0.2">
      <c r="A103" s="1" t="s">
        <v>72</v>
      </c>
      <c r="B103" s="10" t="s">
        <v>34</v>
      </c>
      <c r="C103">
        <v>20747</v>
      </c>
      <c r="D103">
        <v>10000</v>
      </c>
      <c r="E103" s="2" t="s">
        <v>13</v>
      </c>
      <c r="F103" s="27">
        <v>33664</v>
      </c>
      <c r="G103" s="11">
        <v>37315</v>
      </c>
      <c r="H103" s="12">
        <v>366</v>
      </c>
      <c r="I103" s="12">
        <v>365</v>
      </c>
      <c r="J103" s="12">
        <f>G103-"12/31/01"</f>
        <v>59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/>
      <c r="T103" s="17"/>
      <c r="U103" s="12">
        <f t="shared" si="65"/>
        <v>3660000</v>
      </c>
      <c r="V103" s="12">
        <f t="shared" si="51"/>
        <v>3650000</v>
      </c>
      <c r="W103" s="12">
        <f t="shared" si="52"/>
        <v>590000</v>
      </c>
      <c r="X103" s="12">
        <f t="shared" si="53"/>
        <v>0</v>
      </c>
      <c r="Y103" s="12">
        <f t="shared" si="55"/>
        <v>0</v>
      </c>
      <c r="Z103" s="12">
        <f t="shared" si="56"/>
        <v>0</v>
      </c>
      <c r="AA103" s="12">
        <f t="shared" si="57"/>
        <v>0</v>
      </c>
      <c r="AB103" s="12">
        <f t="shared" si="58"/>
        <v>0</v>
      </c>
      <c r="AC103" s="12">
        <f t="shared" si="59"/>
        <v>0</v>
      </c>
      <c r="AD103" s="12">
        <f t="shared" si="60"/>
        <v>0</v>
      </c>
      <c r="AE103" s="12">
        <f t="shared" si="61"/>
        <v>0</v>
      </c>
      <c r="AG103" s="13">
        <f>+U103*'CSF Rates'!C14</f>
        <v>939644.00000000012</v>
      </c>
      <c r="AH103" s="13">
        <f>+V103*'CSF Rates'!D14</f>
        <v>966454.58000000031</v>
      </c>
      <c r="AI103" s="13">
        <f>+W103*'CSF Rates'!E14</f>
        <v>159345.85376547949</v>
      </c>
      <c r="AJ103" s="13">
        <f>+X103*'CSF Rates'!F14</f>
        <v>0</v>
      </c>
      <c r="AK103" s="13">
        <f>+Y103*'CSF Rates'!G14</f>
        <v>0</v>
      </c>
      <c r="AL103" s="13">
        <f>+Z103*'CSF Rates'!H14</f>
        <v>0</v>
      </c>
      <c r="AM103" s="13">
        <f>+AA103*'CSF Rates'!I14</f>
        <v>0</v>
      </c>
      <c r="AN103" s="13">
        <f>+AB103*'CSF Rates'!J14</f>
        <v>0</v>
      </c>
      <c r="AO103" s="13">
        <f>+AC103*'CSF Rates'!K14</f>
        <v>0</v>
      </c>
      <c r="AP103" s="13">
        <f>+AD103*'CSF Rates'!L14</f>
        <v>0</v>
      </c>
      <c r="AQ103" s="13">
        <f>+AE103*'CSF Rates'!M14</f>
        <v>0</v>
      </c>
    </row>
    <row r="104" spans="1:43" x14ac:dyDescent="0.2">
      <c r="A104" s="1" t="s">
        <v>72</v>
      </c>
      <c r="B104" s="10" t="s">
        <v>34</v>
      </c>
      <c r="C104">
        <v>20748</v>
      </c>
      <c r="D104">
        <v>10000</v>
      </c>
      <c r="E104" s="2" t="s">
        <v>13</v>
      </c>
      <c r="F104" s="27">
        <v>33664</v>
      </c>
      <c r="G104" s="11">
        <v>37315</v>
      </c>
      <c r="H104" s="12">
        <v>366</v>
      </c>
      <c r="I104" s="12">
        <v>365</v>
      </c>
      <c r="J104" s="12">
        <f>G104-"12/31/01"</f>
        <v>59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/>
      <c r="T104" s="17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x14ac:dyDescent="0.2">
      <c r="A105" s="1" t="s">
        <v>72</v>
      </c>
      <c r="B105" s="10" t="s">
        <v>34</v>
      </c>
      <c r="C105">
        <v>27566</v>
      </c>
      <c r="D105">
        <v>20000</v>
      </c>
      <c r="E105" s="2" t="s">
        <v>13</v>
      </c>
      <c r="F105" s="27">
        <v>37316</v>
      </c>
      <c r="G105" s="11">
        <v>39172</v>
      </c>
      <c r="H105" s="12">
        <v>0</v>
      </c>
      <c r="I105" s="12">
        <v>0</v>
      </c>
      <c r="J105" s="12">
        <f>"1/1/03"-"3/01/02"</f>
        <v>306</v>
      </c>
      <c r="K105" s="12">
        <v>365</v>
      </c>
      <c r="L105" s="12">
        <v>366</v>
      </c>
      <c r="M105" s="14">
        <v>365</v>
      </c>
      <c r="N105" s="12">
        <v>365</v>
      </c>
      <c r="O105" s="12">
        <f>+G105-"12/31/06"</f>
        <v>90</v>
      </c>
      <c r="P105" s="12">
        <v>0</v>
      </c>
      <c r="Q105" s="12">
        <v>0</v>
      </c>
      <c r="R105" s="12">
        <v>0</v>
      </c>
      <c r="S105" s="12">
        <f>+G105-F105</f>
        <v>1856</v>
      </c>
      <c r="T105" s="12">
        <f>SUM(H105:R105)</f>
        <v>1857</v>
      </c>
      <c r="U105" s="12">
        <f t="shared" si="65"/>
        <v>0</v>
      </c>
      <c r="V105" s="12">
        <f t="shared" si="51"/>
        <v>0</v>
      </c>
      <c r="W105" s="12">
        <f t="shared" si="52"/>
        <v>6120000</v>
      </c>
      <c r="X105" s="12">
        <f t="shared" si="53"/>
        <v>7300000</v>
      </c>
      <c r="Y105" s="12">
        <f t="shared" si="55"/>
        <v>7320000</v>
      </c>
      <c r="Z105" s="12">
        <f t="shared" si="56"/>
        <v>7300000</v>
      </c>
      <c r="AA105" s="12">
        <f t="shared" si="57"/>
        <v>7300000</v>
      </c>
      <c r="AB105" s="12">
        <f t="shared" si="58"/>
        <v>1800000</v>
      </c>
      <c r="AC105" s="12">
        <f t="shared" si="59"/>
        <v>0</v>
      </c>
      <c r="AD105" s="12">
        <f t="shared" si="60"/>
        <v>0</v>
      </c>
      <c r="AE105" s="12">
        <f t="shared" si="61"/>
        <v>0</v>
      </c>
      <c r="AG105" s="13">
        <f>+U105*'CSF Rates'!C$12</f>
        <v>0</v>
      </c>
      <c r="AH105" s="13">
        <f>+V105*'CSF Rates'!D$12</f>
        <v>0</v>
      </c>
      <c r="AI105" s="13">
        <f>+W105*'CSF Rates'!E$12</f>
        <v>659538.14794520545</v>
      </c>
      <c r="AJ105" s="13">
        <f>+X105*'CSF Rates'!F$12</f>
        <v>802764.00000000012</v>
      </c>
      <c r="AK105" s="13">
        <f>+Y105*'CSF Rates'!G$12</f>
        <v>821181.99999999988</v>
      </c>
      <c r="AL105" s="13">
        <f>+Z105*'CSF Rates'!H$12</f>
        <v>835736</v>
      </c>
      <c r="AM105" s="13">
        <f>+AA105*'CSF Rates'!I$12</f>
        <v>852648.00000000012</v>
      </c>
      <c r="AN105" s="13">
        <f>+AB105*'CSF Rates'!J$12</f>
        <v>214561.97260273973</v>
      </c>
      <c r="AO105" s="13">
        <f>+AC105*'CSF Rates'!K$12</f>
        <v>0</v>
      </c>
      <c r="AP105" s="13">
        <f>+AD105*'CSF Rates'!L$12</f>
        <v>0</v>
      </c>
      <c r="AQ105" s="13">
        <f>+AE105*'CSF Rates'!M$12</f>
        <v>0</v>
      </c>
    </row>
    <row r="106" spans="1:43" x14ac:dyDescent="0.2">
      <c r="A106" s="1" t="s">
        <v>72</v>
      </c>
      <c r="B106" s="10" t="s">
        <v>25</v>
      </c>
      <c r="C106">
        <v>25838</v>
      </c>
      <c r="D106">
        <v>10475</v>
      </c>
      <c r="E106" s="2">
        <v>8.5000000000000006E-2</v>
      </c>
      <c r="F106" s="27"/>
      <c r="G106" s="11">
        <v>36556</v>
      </c>
      <c r="H106" s="35">
        <f>G106-"12/31/99"</f>
        <v>31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12"/>
      <c r="T106" s="17"/>
      <c r="U106" s="12">
        <f t="shared" si="65"/>
        <v>324725</v>
      </c>
      <c r="V106" s="12">
        <f t="shared" si="51"/>
        <v>0</v>
      </c>
      <c r="W106" s="12">
        <f t="shared" si="52"/>
        <v>0</v>
      </c>
      <c r="X106" s="12">
        <f t="shared" si="53"/>
        <v>0</v>
      </c>
      <c r="Y106" s="12">
        <f t="shared" si="55"/>
        <v>0</v>
      </c>
      <c r="Z106" s="12">
        <f t="shared" si="56"/>
        <v>0</v>
      </c>
      <c r="AA106" s="12">
        <f t="shared" si="57"/>
        <v>0</v>
      </c>
      <c r="AB106" s="12">
        <f t="shared" si="58"/>
        <v>0</v>
      </c>
      <c r="AC106" s="12">
        <f t="shared" si="59"/>
        <v>0</v>
      </c>
      <c r="AD106" s="12">
        <f t="shared" si="60"/>
        <v>0</v>
      </c>
      <c r="AE106" s="12">
        <f t="shared" si="61"/>
        <v>0</v>
      </c>
      <c r="AG106" s="13">
        <f t="shared" ref="AG106:AQ107" si="67">+U106*$E106</f>
        <v>27601.625000000004</v>
      </c>
      <c r="AH106" s="13">
        <f t="shared" si="67"/>
        <v>0</v>
      </c>
      <c r="AI106" s="13">
        <f t="shared" si="67"/>
        <v>0</v>
      </c>
      <c r="AJ106" s="13">
        <f t="shared" si="67"/>
        <v>0</v>
      </c>
      <c r="AK106" s="13">
        <f t="shared" si="67"/>
        <v>0</v>
      </c>
      <c r="AL106" s="13">
        <f t="shared" si="67"/>
        <v>0</v>
      </c>
      <c r="AM106" s="13">
        <f t="shared" si="67"/>
        <v>0</v>
      </c>
      <c r="AN106" s="13">
        <f t="shared" si="67"/>
        <v>0</v>
      </c>
      <c r="AO106" s="13">
        <f t="shared" si="67"/>
        <v>0</v>
      </c>
      <c r="AP106" s="13">
        <f t="shared" si="67"/>
        <v>0</v>
      </c>
      <c r="AQ106" s="13">
        <f t="shared" si="67"/>
        <v>0</v>
      </c>
    </row>
    <row r="107" spans="1:43" x14ac:dyDescent="0.2">
      <c r="A107" s="1" t="s">
        <v>72</v>
      </c>
      <c r="B107" s="10" t="s">
        <v>25</v>
      </c>
      <c r="C107" s="31">
        <v>26758</v>
      </c>
      <c r="D107">
        <v>40000</v>
      </c>
      <c r="E107" s="2"/>
      <c r="F107" s="27">
        <v>36647</v>
      </c>
      <c r="G107" s="11">
        <v>38472</v>
      </c>
      <c r="H107" s="36">
        <f>"1/01/01"-F107</f>
        <v>245</v>
      </c>
      <c r="I107" s="35">
        <v>365</v>
      </c>
      <c r="J107" s="35">
        <v>365</v>
      </c>
      <c r="K107" s="35">
        <v>365</v>
      </c>
      <c r="L107" s="35">
        <v>366</v>
      </c>
      <c r="M107" s="35">
        <f>G107-"12/31/04"</f>
        <v>120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12"/>
      <c r="T107" s="17"/>
      <c r="U107" s="12"/>
      <c r="V107" s="12">
        <f t="shared" si="51"/>
        <v>14600000</v>
      </c>
      <c r="W107" s="12">
        <f t="shared" si="52"/>
        <v>14600000</v>
      </c>
      <c r="X107" s="12">
        <f t="shared" si="53"/>
        <v>14600000</v>
      </c>
      <c r="Y107" s="12">
        <f>+L107*$D107</f>
        <v>14640000</v>
      </c>
      <c r="Z107" s="12">
        <f>+M107*$D107</f>
        <v>4800000</v>
      </c>
      <c r="AA107" s="12">
        <f t="shared" si="57"/>
        <v>0</v>
      </c>
      <c r="AB107" s="12">
        <f t="shared" si="58"/>
        <v>0</v>
      </c>
      <c r="AC107" s="12">
        <f t="shared" si="59"/>
        <v>0</v>
      </c>
      <c r="AD107" s="12">
        <f t="shared" si="60"/>
        <v>0</v>
      </c>
      <c r="AE107" s="12">
        <f t="shared" si="61"/>
        <v>0</v>
      </c>
      <c r="AG107" s="13">
        <f t="shared" si="67"/>
        <v>0</v>
      </c>
      <c r="AH107" s="13">
        <f t="shared" si="67"/>
        <v>0</v>
      </c>
      <c r="AI107" s="13">
        <f t="shared" si="67"/>
        <v>0</v>
      </c>
      <c r="AJ107" s="13">
        <f t="shared" si="67"/>
        <v>0</v>
      </c>
      <c r="AK107" s="13">
        <f t="shared" si="67"/>
        <v>0</v>
      </c>
      <c r="AL107" s="13">
        <f t="shared" si="67"/>
        <v>0</v>
      </c>
      <c r="AM107" s="13">
        <f t="shared" si="67"/>
        <v>0</v>
      </c>
      <c r="AN107" s="13">
        <f t="shared" si="67"/>
        <v>0</v>
      </c>
      <c r="AO107" s="13">
        <f t="shared" si="67"/>
        <v>0</v>
      </c>
      <c r="AP107" s="13">
        <f t="shared" si="67"/>
        <v>0</v>
      </c>
      <c r="AQ107" s="13">
        <f t="shared" si="67"/>
        <v>0</v>
      </c>
    </row>
    <row r="108" spans="1:43" x14ac:dyDescent="0.2">
      <c r="A108" s="1" t="s">
        <v>72</v>
      </c>
      <c r="B108" s="10" t="s">
        <v>64</v>
      </c>
      <c r="C108">
        <v>26372</v>
      </c>
      <c r="D108">
        <v>25000</v>
      </c>
      <c r="E108" s="2" t="s">
        <v>13</v>
      </c>
      <c r="F108" s="27">
        <v>36525</v>
      </c>
      <c r="G108" s="11">
        <v>39172</v>
      </c>
      <c r="H108" s="12">
        <v>366</v>
      </c>
      <c r="I108" s="12">
        <v>365</v>
      </c>
      <c r="J108" s="12">
        <v>365</v>
      </c>
      <c r="K108" s="12">
        <v>365</v>
      </c>
      <c r="L108" s="12">
        <v>366</v>
      </c>
      <c r="M108" s="14">
        <v>365</v>
      </c>
      <c r="N108" s="12">
        <v>365</v>
      </c>
      <c r="O108" s="12">
        <f>+G108-"12/31/06"</f>
        <v>90</v>
      </c>
      <c r="P108" s="12">
        <v>0</v>
      </c>
      <c r="Q108" s="12">
        <v>0</v>
      </c>
      <c r="R108" s="12">
        <v>0</v>
      </c>
      <c r="S108" s="12">
        <f>+G108-F108</f>
        <v>2647</v>
      </c>
      <c r="T108" s="12">
        <f>SUM(H108:R108)</f>
        <v>2647</v>
      </c>
      <c r="U108" s="12">
        <f t="shared" si="65"/>
        <v>9150000</v>
      </c>
      <c r="V108" s="12">
        <f t="shared" si="51"/>
        <v>9125000</v>
      </c>
      <c r="W108" s="12">
        <f>+J108*$D108</f>
        <v>9125000</v>
      </c>
      <c r="X108" s="12">
        <f t="shared" si="53"/>
        <v>9125000</v>
      </c>
      <c r="Y108" s="12">
        <f>+L108*$D108</f>
        <v>9150000</v>
      </c>
      <c r="Z108" s="12">
        <f>+M108*$D108</f>
        <v>9125000</v>
      </c>
      <c r="AA108" s="12">
        <f>+N108*$D108</f>
        <v>9125000</v>
      </c>
      <c r="AB108" s="12">
        <f>+O108*$D108</f>
        <v>2250000</v>
      </c>
      <c r="AC108" s="12">
        <f>+P108*$D108</f>
        <v>0</v>
      </c>
      <c r="AD108" s="12">
        <f>+Q108*$D108</f>
        <v>0</v>
      </c>
      <c r="AE108" s="12">
        <f>+R108*$D108</f>
        <v>0</v>
      </c>
      <c r="AG108" s="13">
        <f>+U108*'CSF Rates'!C$12</f>
        <v>946567.49999999988</v>
      </c>
      <c r="AH108" s="13">
        <f>+V108*'CSF Rates'!D$12</f>
        <v>963305.00000000012</v>
      </c>
      <c r="AI108" s="13">
        <f>+W108*'CSF Rates'!E$12</f>
        <v>983380</v>
      </c>
      <c r="AJ108" s="13">
        <f>+X108*'CSF Rates'!F$12</f>
        <v>1003455.0000000001</v>
      </c>
      <c r="AK108" s="13">
        <f>+Y108*'CSF Rates'!G$12</f>
        <v>1026477.4999999999</v>
      </c>
      <c r="AL108" s="13">
        <f>+Z108*'CSF Rates'!H$12</f>
        <v>1044670</v>
      </c>
      <c r="AM108" s="13">
        <f>+AA108*'CSF Rates'!I$12</f>
        <v>1065810.0000000002</v>
      </c>
      <c r="AN108" s="13">
        <f>+AB108*'CSF Rates'!J$12</f>
        <v>268202.46575342468</v>
      </c>
      <c r="AO108" s="13">
        <f>+AC108*'CSF Rates'!K$12</f>
        <v>0</v>
      </c>
      <c r="AP108" s="13">
        <f>+AD108*'CSF Rates'!L$12</f>
        <v>0</v>
      </c>
      <c r="AQ108" s="13">
        <f>+AE108*'CSF Rates'!M$12</f>
        <v>0</v>
      </c>
    </row>
    <row r="109" spans="1:43" x14ac:dyDescent="0.2">
      <c r="A109" s="1" t="s">
        <v>72</v>
      </c>
      <c r="B109" s="10" t="s">
        <v>56</v>
      </c>
      <c r="C109">
        <v>27453</v>
      </c>
      <c r="D109">
        <v>35000</v>
      </c>
      <c r="E109" s="2" t="s">
        <v>13</v>
      </c>
      <c r="F109" s="27">
        <v>37621</v>
      </c>
      <c r="G109" s="11">
        <v>37986</v>
      </c>
      <c r="H109" s="12">
        <v>0</v>
      </c>
      <c r="I109" s="12">
        <v>0</v>
      </c>
      <c r="J109" s="12">
        <v>0</v>
      </c>
      <c r="K109" s="12">
        <v>365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f>+G109-F109</f>
        <v>365</v>
      </c>
      <c r="T109" s="12">
        <f>SUM(H109:R109)</f>
        <v>365</v>
      </c>
      <c r="U109" s="12">
        <f t="shared" si="65"/>
        <v>0</v>
      </c>
      <c r="V109" s="12">
        <f t="shared" si="51"/>
        <v>0</v>
      </c>
      <c r="W109" s="12">
        <f t="shared" si="52"/>
        <v>0</v>
      </c>
      <c r="X109" s="12">
        <f t="shared" si="53"/>
        <v>12775000</v>
      </c>
      <c r="Y109" s="12">
        <f t="shared" si="55"/>
        <v>0</v>
      </c>
      <c r="Z109" s="12">
        <f t="shared" si="56"/>
        <v>0</v>
      </c>
      <c r="AA109" s="12">
        <f t="shared" si="57"/>
        <v>0</v>
      </c>
      <c r="AB109" s="12">
        <f t="shared" si="58"/>
        <v>0</v>
      </c>
      <c r="AC109" s="12">
        <f t="shared" si="59"/>
        <v>0</v>
      </c>
      <c r="AD109" s="12">
        <f t="shared" si="60"/>
        <v>0</v>
      </c>
      <c r="AE109" s="12">
        <f t="shared" si="61"/>
        <v>0</v>
      </c>
      <c r="AG109" s="13">
        <f>+U109*'CSF Rates'!C$12</f>
        <v>0</v>
      </c>
      <c r="AH109" s="13">
        <f>+V109*'CSF Rates'!D$12</f>
        <v>0</v>
      </c>
      <c r="AI109" s="13">
        <f>+W109*'CSF Rates'!E$12</f>
        <v>0</v>
      </c>
      <c r="AJ109" s="13">
        <f>+X109*'CSF Rates'!F$12</f>
        <v>1404837</v>
      </c>
      <c r="AK109" s="13">
        <f>+Y109*'CSF Rates'!G$12</f>
        <v>0</v>
      </c>
      <c r="AL109" s="13">
        <f>+Z109*'CSF Rates'!H$12</f>
        <v>0</v>
      </c>
      <c r="AM109" s="13">
        <f>+AA109*'CSF Rates'!I$12</f>
        <v>0</v>
      </c>
      <c r="AN109" s="13">
        <f>+AB109*'CSF Rates'!J$12</f>
        <v>0</v>
      </c>
      <c r="AO109" s="13">
        <f>+AC109*'CSF Rates'!K$12</f>
        <v>0</v>
      </c>
      <c r="AP109" s="13">
        <f>+AD109*'CSF Rates'!L$12</f>
        <v>0</v>
      </c>
      <c r="AQ109" s="13">
        <f>+AE109*'CSF Rates'!M$12</f>
        <v>0</v>
      </c>
    </row>
    <row r="110" spans="1:43" x14ac:dyDescent="0.2">
      <c r="A110" s="1" t="s">
        <v>72</v>
      </c>
      <c r="B110" s="10" t="s">
        <v>56</v>
      </c>
      <c r="C110">
        <v>27456</v>
      </c>
      <c r="D110">
        <v>21500</v>
      </c>
      <c r="E110" s="2" t="s">
        <v>13</v>
      </c>
      <c r="F110" s="27">
        <v>37560</v>
      </c>
      <c r="G110" s="11">
        <v>37621</v>
      </c>
      <c r="H110" s="12">
        <v>0</v>
      </c>
      <c r="I110" s="12">
        <v>0</v>
      </c>
      <c r="J110" s="12">
        <f>+G110-"10/31/02"</f>
        <v>61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f>+G110-F110</f>
        <v>61</v>
      </c>
      <c r="T110" s="12">
        <f>SUM(H110:R110)</f>
        <v>61</v>
      </c>
      <c r="U110" s="12">
        <f t="shared" si="65"/>
        <v>0</v>
      </c>
      <c r="V110" s="12">
        <f t="shared" si="51"/>
        <v>0</v>
      </c>
      <c r="W110" s="12">
        <f t="shared" si="52"/>
        <v>1311500</v>
      </c>
      <c r="X110" s="12">
        <f t="shared" si="53"/>
        <v>0</v>
      </c>
      <c r="Y110" s="12">
        <f t="shared" si="55"/>
        <v>0</v>
      </c>
      <c r="Z110" s="12">
        <f t="shared" si="56"/>
        <v>0</v>
      </c>
      <c r="AA110" s="12">
        <f t="shared" si="57"/>
        <v>0</v>
      </c>
      <c r="AB110" s="12">
        <f t="shared" si="58"/>
        <v>0</v>
      </c>
      <c r="AC110" s="12">
        <f t="shared" si="59"/>
        <v>0</v>
      </c>
      <c r="AD110" s="12">
        <f t="shared" si="60"/>
        <v>0</v>
      </c>
      <c r="AE110" s="12">
        <f t="shared" si="61"/>
        <v>0</v>
      </c>
      <c r="AG110" s="13">
        <f>+U110*'CSF Rates'!C$12</f>
        <v>0</v>
      </c>
      <c r="AH110" s="13">
        <f>+V110*'CSF Rates'!D$12</f>
        <v>0</v>
      </c>
      <c r="AI110" s="13">
        <f>+W110*'CSF Rates'!E$12</f>
        <v>141337.3008219178</v>
      </c>
      <c r="AJ110" s="13">
        <f>+X110*'CSF Rates'!F$12</f>
        <v>0</v>
      </c>
      <c r="AK110" s="13">
        <f>+Y110*'CSF Rates'!G$12</f>
        <v>0</v>
      </c>
      <c r="AL110" s="13">
        <f>+Z110*'CSF Rates'!H$12</f>
        <v>0</v>
      </c>
      <c r="AM110" s="13">
        <f>+AA110*'CSF Rates'!I$12</f>
        <v>0</v>
      </c>
      <c r="AN110" s="13">
        <f>+AB110*'CSF Rates'!J$12</f>
        <v>0</v>
      </c>
      <c r="AO110" s="13">
        <f>+AC110*'CSF Rates'!K$12</f>
        <v>0</v>
      </c>
      <c r="AP110" s="13">
        <f>+AD110*'CSF Rates'!L$12</f>
        <v>0</v>
      </c>
      <c r="AQ110" s="13">
        <f>+AE110*'CSF Rates'!M$12</f>
        <v>0</v>
      </c>
    </row>
    <row r="111" spans="1:43" x14ac:dyDescent="0.2">
      <c r="A111" s="1" t="s">
        <v>72</v>
      </c>
      <c r="B111" s="10" t="s">
        <v>56</v>
      </c>
      <c r="C111">
        <v>27457</v>
      </c>
      <c r="D111">
        <v>13500</v>
      </c>
      <c r="E111" s="2" t="s">
        <v>13</v>
      </c>
      <c r="F111" s="27">
        <v>37225</v>
      </c>
      <c r="G111" s="11">
        <v>37256</v>
      </c>
      <c r="H111" s="12">
        <v>0</v>
      </c>
      <c r="I111" s="12">
        <v>31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f>+G111-F111</f>
        <v>31</v>
      </c>
      <c r="T111" s="12">
        <f>SUM(H111:R111)</f>
        <v>31</v>
      </c>
      <c r="U111" s="12">
        <f t="shared" si="65"/>
        <v>0</v>
      </c>
      <c r="V111" s="12">
        <f>+I111*$D111</f>
        <v>418500</v>
      </c>
      <c r="W111" s="12">
        <f t="shared" si="52"/>
        <v>0</v>
      </c>
      <c r="X111" s="12">
        <f t="shared" si="53"/>
        <v>0</v>
      </c>
      <c r="Y111" s="12">
        <f t="shared" si="55"/>
        <v>0</v>
      </c>
      <c r="Z111" s="12">
        <f t="shared" si="56"/>
        <v>0</v>
      </c>
      <c r="AA111" s="12">
        <f t="shared" si="57"/>
        <v>0</v>
      </c>
      <c r="AB111" s="12">
        <f t="shared" si="58"/>
        <v>0</v>
      </c>
      <c r="AC111" s="12">
        <f t="shared" si="59"/>
        <v>0</v>
      </c>
      <c r="AD111" s="12">
        <f t="shared" si="60"/>
        <v>0</v>
      </c>
      <c r="AE111" s="12">
        <f t="shared" si="61"/>
        <v>0</v>
      </c>
      <c r="AG111" s="13">
        <f>+U111*'CSF Rates'!C$12</f>
        <v>0</v>
      </c>
      <c r="AH111" s="13">
        <f>+V111*'CSF Rates'!D$12</f>
        <v>44180.070410958906</v>
      </c>
      <c r="AI111" s="13">
        <f>+W111*'CSF Rates'!E$12</f>
        <v>0</v>
      </c>
      <c r="AJ111" s="13">
        <f>+X111*'CSF Rates'!F$12</f>
        <v>0</v>
      </c>
      <c r="AK111" s="13">
        <f>+Y111*'CSF Rates'!G$12</f>
        <v>0</v>
      </c>
      <c r="AL111" s="13">
        <f>+Z111*'CSF Rates'!H$12</f>
        <v>0</v>
      </c>
      <c r="AM111" s="13">
        <f>+AA111*'CSF Rates'!I$12</f>
        <v>0</v>
      </c>
      <c r="AN111" s="13">
        <f>+AB111*'CSF Rates'!J$12</f>
        <v>0</v>
      </c>
      <c r="AO111" s="13">
        <f>+AC111*'CSF Rates'!K$12</f>
        <v>0</v>
      </c>
      <c r="AP111" s="13">
        <f>+AD111*'CSF Rates'!L$12</f>
        <v>0</v>
      </c>
      <c r="AQ111" s="13">
        <f>+AE111*'CSF Rates'!M$12</f>
        <v>0</v>
      </c>
    </row>
    <row r="112" spans="1:43" x14ac:dyDescent="0.2">
      <c r="A112" s="1" t="s">
        <v>72</v>
      </c>
      <c r="B112" s="10" t="s">
        <v>14</v>
      </c>
      <c r="C112">
        <v>26125</v>
      </c>
      <c r="D112">
        <v>8600</v>
      </c>
      <c r="E112" s="2">
        <v>2.7900000000000001E-2</v>
      </c>
      <c r="F112" s="27">
        <v>35947</v>
      </c>
      <c r="G112" s="11">
        <v>37772</v>
      </c>
      <c r="H112" s="12">
        <v>366</v>
      </c>
      <c r="I112" s="12">
        <v>365</v>
      </c>
      <c r="J112" s="12">
        <v>365</v>
      </c>
      <c r="K112" s="12">
        <f>G112-"12/31/02"</f>
        <v>151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/>
      <c r="T112" s="17"/>
      <c r="U112" s="12">
        <f t="shared" si="65"/>
        <v>3147600</v>
      </c>
      <c r="V112" s="12">
        <f t="shared" ref="V112:V120" si="68">+I112*$D112</f>
        <v>3139000</v>
      </c>
      <c r="W112" s="12">
        <f t="shared" si="52"/>
        <v>3139000</v>
      </c>
      <c r="X112" s="12">
        <f t="shared" si="53"/>
        <v>1298600</v>
      </c>
      <c r="Y112" s="12">
        <f t="shared" si="55"/>
        <v>0</v>
      </c>
      <c r="Z112" s="12">
        <f t="shared" si="56"/>
        <v>0</v>
      </c>
      <c r="AA112" s="12">
        <f t="shared" si="57"/>
        <v>0</v>
      </c>
      <c r="AB112" s="12">
        <f t="shared" si="58"/>
        <v>0</v>
      </c>
      <c r="AC112" s="12">
        <f t="shared" si="59"/>
        <v>0</v>
      </c>
      <c r="AD112" s="12">
        <f t="shared" si="60"/>
        <v>0</v>
      </c>
      <c r="AE112" s="12">
        <f t="shared" si="61"/>
        <v>0</v>
      </c>
      <c r="AG112" s="13">
        <f t="shared" ref="AG112:AQ112" si="69">+U112*$E112</f>
        <v>87818.040000000008</v>
      </c>
      <c r="AH112" s="13">
        <f t="shared" si="69"/>
        <v>87578.1</v>
      </c>
      <c r="AI112" s="13">
        <f t="shared" si="69"/>
        <v>87578.1</v>
      </c>
      <c r="AJ112" s="13">
        <f t="shared" si="69"/>
        <v>36230.94</v>
      </c>
      <c r="AK112" s="13">
        <f t="shared" si="69"/>
        <v>0</v>
      </c>
      <c r="AL112" s="13">
        <f t="shared" si="69"/>
        <v>0</v>
      </c>
      <c r="AM112" s="13">
        <f t="shared" si="69"/>
        <v>0</v>
      </c>
      <c r="AN112" s="13">
        <f t="shared" si="69"/>
        <v>0</v>
      </c>
      <c r="AO112" s="13">
        <f t="shared" si="69"/>
        <v>0</v>
      </c>
      <c r="AP112" s="13">
        <f t="shared" si="69"/>
        <v>0</v>
      </c>
      <c r="AQ112" s="13">
        <f t="shared" si="69"/>
        <v>0</v>
      </c>
    </row>
    <row r="113" spans="1:43" x14ac:dyDescent="0.2">
      <c r="A113" s="1" t="s">
        <v>72</v>
      </c>
      <c r="B113" s="10" t="s">
        <v>54</v>
      </c>
      <c r="C113">
        <v>26884</v>
      </c>
      <c r="D113">
        <v>40000</v>
      </c>
      <c r="E113" s="2" t="s">
        <v>13</v>
      </c>
      <c r="F113" s="27">
        <v>36646</v>
      </c>
      <c r="G113" s="11">
        <v>38656</v>
      </c>
      <c r="H113" s="14">
        <f>"1/1/2001"-"5/1/2000"</f>
        <v>245</v>
      </c>
      <c r="I113" s="12">
        <v>365</v>
      </c>
      <c r="J113" s="12">
        <v>365</v>
      </c>
      <c r="K113" s="12">
        <v>365</v>
      </c>
      <c r="L113" s="12">
        <v>366</v>
      </c>
      <c r="M113" s="14">
        <f>+G113-"12/31/04"</f>
        <v>304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f>+G113-F113</f>
        <v>2010</v>
      </c>
      <c r="T113" s="12">
        <f>SUM(H113:R113)</f>
        <v>2010</v>
      </c>
      <c r="U113" s="12">
        <f t="shared" si="65"/>
        <v>9800000</v>
      </c>
      <c r="V113" s="12">
        <f t="shared" si="68"/>
        <v>14600000</v>
      </c>
      <c r="W113" s="12">
        <f t="shared" si="52"/>
        <v>14600000</v>
      </c>
      <c r="X113" s="12">
        <f t="shared" si="53"/>
        <v>14600000</v>
      </c>
      <c r="Y113" s="12">
        <f t="shared" si="55"/>
        <v>14640000</v>
      </c>
      <c r="Z113" s="12">
        <f t="shared" si="56"/>
        <v>12160000</v>
      </c>
      <c r="AA113" s="12">
        <f t="shared" si="57"/>
        <v>0</v>
      </c>
      <c r="AB113" s="12">
        <f t="shared" si="58"/>
        <v>0</v>
      </c>
      <c r="AC113" s="12">
        <f t="shared" si="59"/>
        <v>0</v>
      </c>
      <c r="AD113" s="12">
        <f t="shared" si="60"/>
        <v>0</v>
      </c>
      <c r="AE113" s="12">
        <f t="shared" si="61"/>
        <v>0</v>
      </c>
      <c r="AG113" s="13">
        <f>+U113*'CSF Rates'!C$12</f>
        <v>1013809.9999999999</v>
      </c>
      <c r="AH113" s="13">
        <f>+V113*'CSF Rates'!D$12</f>
        <v>1541288</v>
      </c>
      <c r="AI113" s="13">
        <f>+W113*'CSF Rates'!E$12</f>
        <v>1573408</v>
      </c>
      <c r="AJ113" s="13">
        <f>+X113*'CSF Rates'!F$12</f>
        <v>1605528.0000000002</v>
      </c>
      <c r="AK113" s="13">
        <f>+Y113*'CSF Rates'!G$12</f>
        <v>1642363.9999999998</v>
      </c>
      <c r="AL113" s="13">
        <f>+Z113*'CSF Rates'!H$12</f>
        <v>1392130.104109589</v>
      </c>
      <c r="AM113" s="13">
        <f>+AA113*'CSF Rates'!I$12</f>
        <v>0</v>
      </c>
      <c r="AN113" s="13">
        <f>+AB113*'CSF Rates'!J$12</f>
        <v>0</v>
      </c>
      <c r="AO113" s="13">
        <f>+AC113*'CSF Rates'!K$12</f>
        <v>0</v>
      </c>
      <c r="AP113" s="13">
        <f>+AD113*'CSF Rates'!L$12</f>
        <v>0</v>
      </c>
      <c r="AQ113" s="13">
        <f>+AE113*'CSF Rates'!M$12</f>
        <v>0</v>
      </c>
    </row>
    <row r="114" spans="1:43" x14ac:dyDescent="0.2">
      <c r="A114" s="1" t="s">
        <v>72</v>
      </c>
      <c r="B114" s="10" t="s">
        <v>65</v>
      </c>
      <c r="C114">
        <v>26678</v>
      </c>
      <c r="D114">
        <v>25000</v>
      </c>
      <c r="E114" s="2" t="s">
        <v>13</v>
      </c>
      <c r="F114" s="27">
        <v>36525</v>
      </c>
      <c r="G114" s="11">
        <v>39172</v>
      </c>
      <c r="H114" s="12">
        <v>366</v>
      </c>
      <c r="I114" s="12">
        <v>365</v>
      </c>
      <c r="J114" s="12">
        <v>365</v>
      </c>
      <c r="K114" s="12">
        <v>365</v>
      </c>
      <c r="L114" s="12">
        <v>366</v>
      </c>
      <c r="M114" s="14">
        <v>365</v>
      </c>
      <c r="N114" s="12">
        <v>365</v>
      </c>
      <c r="O114" s="12">
        <f>+G114-"12/31/06"</f>
        <v>90</v>
      </c>
      <c r="P114" s="12">
        <v>0</v>
      </c>
      <c r="Q114" s="12">
        <v>0</v>
      </c>
      <c r="R114" s="12">
        <v>0</v>
      </c>
      <c r="S114" s="12">
        <f>+G114-F114</f>
        <v>2647</v>
      </c>
      <c r="T114" s="12">
        <f>SUM(H114:R114)</f>
        <v>2647</v>
      </c>
      <c r="U114" s="12">
        <f t="shared" si="65"/>
        <v>9150000</v>
      </c>
      <c r="V114" s="12">
        <f t="shared" si="68"/>
        <v>9125000</v>
      </c>
      <c r="W114" s="12">
        <f t="shared" si="52"/>
        <v>9125000</v>
      </c>
      <c r="X114" s="12">
        <f t="shared" si="53"/>
        <v>9125000</v>
      </c>
      <c r="Y114" s="12">
        <f t="shared" si="55"/>
        <v>9150000</v>
      </c>
      <c r="Z114" s="12">
        <f t="shared" si="56"/>
        <v>9125000</v>
      </c>
      <c r="AA114" s="12">
        <f t="shared" si="57"/>
        <v>9125000</v>
      </c>
      <c r="AB114" s="12">
        <f t="shared" si="58"/>
        <v>2250000</v>
      </c>
      <c r="AC114" s="12">
        <f t="shared" si="59"/>
        <v>0</v>
      </c>
      <c r="AD114" s="12">
        <f t="shared" si="60"/>
        <v>0</v>
      </c>
      <c r="AE114" s="12">
        <f t="shared" si="61"/>
        <v>0</v>
      </c>
      <c r="AG114" s="13">
        <f>+U114*'CSF Rates'!C$12</f>
        <v>946567.49999999988</v>
      </c>
      <c r="AH114" s="13">
        <f>+V114*'CSF Rates'!D$12</f>
        <v>963305.00000000012</v>
      </c>
      <c r="AI114" s="13">
        <f>+W114*'CSF Rates'!E$12</f>
        <v>983380</v>
      </c>
      <c r="AJ114" s="13">
        <f>+X114*'CSF Rates'!F$12</f>
        <v>1003455.0000000001</v>
      </c>
      <c r="AK114" s="13">
        <f>+Y114*'CSF Rates'!G$12</f>
        <v>1026477.4999999999</v>
      </c>
      <c r="AL114" s="13">
        <f>+Z114*'CSF Rates'!H$12</f>
        <v>1044670</v>
      </c>
      <c r="AM114" s="13">
        <f>+AA114*'CSF Rates'!I$12</f>
        <v>1065810.0000000002</v>
      </c>
      <c r="AN114" s="13">
        <f>+AB114*'CSF Rates'!J$12</f>
        <v>268202.46575342468</v>
      </c>
      <c r="AO114" s="13">
        <f>+AC114*'CSF Rates'!K$12</f>
        <v>0</v>
      </c>
      <c r="AP114" s="13">
        <f>+AD114*'CSF Rates'!L$12</f>
        <v>0</v>
      </c>
      <c r="AQ114" s="13">
        <f>+AE114*'CSF Rates'!M$12</f>
        <v>0</v>
      </c>
    </row>
    <row r="115" spans="1:43" x14ac:dyDescent="0.2">
      <c r="A115" s="1" t="s">
        <v>72</v>
      </c>
      <c r="B115" s="10" t="s">
        <v>27</v>
      </c>
      <c r="C115">
        <v>25847</v>
      </c>
      <c r="D115">
        <v>20000</v>
      </c>
      <c r="E115" s="2">
        <v>0.126</v>
      </c>
      <c r="F115" s="27"/>
      <c r="G115" s="11">
        <v>36556</v>
      </c>
      <c r="H115" s="35">
        <f>G115-"12/31/99"</f>
        <v>31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12"/>
      <c r="T115" s="17"/>
      <c r="U115" s="12">
        <f t="shared" si="65"/>
        <v>620000</v>
      </c>
      <c r="V115" s="12">
        <f t="shared" si="68"/>
        <v>0</v>
      </c>
      <c r="W115" s="12">
        <f t="shared" si="52"/>
        <v>0</v>
      </c>
      <c r="X115" s="12">
        <f t="shared" si="53"/>
        <v>0</v>
      </c>
      <c r="Y115" s="12">
        <f t="shared" si="55"/>
        <v>0</v>
      </c>
      <c r="Z115" s="12">
        <f t="shared" si="56"/>
        <v>0</v>
      </c>
      <c r="AA115" s="12">
        <f t="shared" si="57"/>
        <v>0</v>
      </c>
      <c r="AB115" s="12">
        <f t="shared" si="58"/>
        <v>0</v>
      </c>
      <c r="AC115" s="12">
        <f t="shared" si="59"/>
        <v>0</v>
      </c>
      <c r="AD115" s="12">
        <f t="shared" si="60"/>
        <v>0</v>
      </c>
      <c r="AE115" s="12">
        <f t="shared" si="61"/>
        <v>0</v>
      </c>
      <c r="AG115" s="13">
        <f t="shared" ref="AG115:AQ115" si="70">+U115*$E115</f>
        <v>78120</v>
      </c>
      <c r="AH115" s="13">
        <f t="shared" si="70"/>
        <v>0</v>
      </c>
      <c r="AI115" s="13">
        <f t="shared" si="70"/>
        <v>0</v>
      </c>
      <c r="AJ115" s="13">
        <f t="shared" si="70"/>
        <v>0</v>
      </c>
      <c r="AK115" s="13">
        <f t="shared" si="70"/>
        <v>0</v>
      </c>
      <c r="AL115" s="13">
        <f t="shared" si="70"/>
        <v>0</v>
      </c>
      <c r="AM115" s="13">
        <f t="shared" si="70"/>
        <v>0</v>
      </c>
      <c r="AN115" s="13">
        <f t="shared" si="70"/>
        <v>0</v>
      </c>
      <c r="AO115" s="13">
        <f t="shared" si="70"/>
        <v>0</v>
      </c>
      <c r="AP115" s="13">
        <f t="shared" si="70"/>
        <v>0</v>
      </c>
      <c r="AQ115" s="13">
        <f t="shared" si="70"/>
        <v>0</v>
      </c>
    </row>
    <row r="116" spans="1:43" x14ac:dyDescent="0.2">
      <c r="A116" s="1" t="s">
        <v>72</v>
      </c>
      <c r="B116" s="10" t="s">
        <v>57</v>
      </c>
      <c r="C116">
        <v>27581</v>
      </c>
      <c r="D116">
        <v>27500</v>
      </c>
      <c r="E116" s="2" t="s">
        <v>13</v>
      </c>
      <c r="F116" s="27">
        <v>37196</v>
      </c>
      <c r="G116" s="11">
        <v>37925</v>
      </c>
      <c r="H116" s="12">
        <v>0</v>
      </c>
      <c r="I116" s="12">
        <v>30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f>+G116-F116</f>
        <v>729</v>
      </c>
      <c r="T116" s="12">
        <f>SUM(H116:R116)</f>
        <v>30</v>
      </c>
      <c r="U116" s="12">
        <f t="shared" si="65"/>
        <v>0</v>
      </c>
      <c r="V116" s="12">
        <f t="shared" si="68"/>
        <v>825000</v>
      </c>
      <c r="W116" s="12">
        <f t="shared" si="52"/>
        <v>0</v>
      </c>
      <c r="X116" s="12">
        <f t="shared" si="53"/>
        <v>0</v>
      </c>
      <c r="Y116" s="12">
        <f t="shared" si="55"/>
        <v>0</v>
      </c>
      <c r="Z116" s="12">
        <f t="shared" si="56"/>
        <v>0</v>
      </c>
      <c r="AA116" s="12">
        <f t="shared" si="57"/>
        <v>0</v>
      </c>
      <c r="AB116" s="12">
        <f t="shared" si="58"/>
        <v>0</v>
      </c>
      <c r="AC116" s="12">
        <f t="shared" si="59"/>
        <v>0</v>
      </c>
      <c r="AD116" s="12">
        <f t="shared" si="60"/>
        <v>0</v>
      </c>
      <c r="AE116" s="12">
        <f t="shared" si="61"/>
        <v>0</v>
      </c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x14ac:dyDescent="0.2">
      <c r="A117" s="1" t="s">
        <v>72</v>
      </c>
      <c r="B117" s="10" t="s">
        <v>57</v>
      </c>
      <c r="C117">
        <v>27581</v>
      </c>
      <c r="D117">
        <v>14000</v>
      </c>
      <c r="E117" s="2" t="s">
        <v>13</v>
      </c>
      <c r="F117" s="27">
        <v>37196</v>
      </c>
      <c r="G117" s="11">
        <v>37925</v>
      </c>
      <c r="H117" s="12">
        <v>0</v>
      </c>
      <c r="I117" s="12">
        <v>31</v>
      </c>
      <c r="J117" s="12">
        <v>214</v>
      </c>
      <c r="K117" s="12">
        <v>214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f>+G117-F117</f>
        <v>729</v>
      </c>
      <c r="T117" s="12">
        <f>SUM(H117:R117)</f>
        <v>459</v>
      </c>
      <c r="U117" s="12">
        <f t="shared" si="65"/>
        <v>0</v>
      </c>
      <c r="V117" s="12">
        <f t="shared" si="68"/>
        <v>434000</v>
      </c>
      <c r="W117" s="12">
        <f t="shared" si="52"/>
        <v>2996000</v>
      </c>
      <c r="X117" s="12">
        <f t="shared" si="53"/>
        <v>2996000</v>
      </c>
      <c r="Y117" s="12">
        <f t="shared" si="55"/>
        <v>0</v>
      </c>
      <c r="Z117" s="12">
        <f t="shared" si="56"/>
        <v>0</v>
      </c>
      <c r="AA117" s="12">
        <f t="shared" si="57"/>
        <v>0</v>
      </c>
      <c r="AB117" s="12">
        <f t="shared" si="58"/>
        <v>0</v>
      </c>
      <c r="AC117" s="12">
        <f t="shared" si="59"/>
        <v>0</v>
      </c>
      <c r="AD117" s="12">
        <f t="shared" si="60"/>
        <v>0</v>
      </c>
      <c r="AE117" s="12">
        <f t="shared" si="61"/>
        <v>0</v>
      </c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x14ac:dyDescent="0.2">
      <c r="A118" s="1" t="s">
        <v>72</v>
      </c>
      <c r="B118" s="10" t="s">
        <v>77</v>
      </c>
      <c r="D118">
        <v>3400</v>
      </c>
      <c r="E118" s="2"/>
      <c r="F118" s="27"/>
      <c r="G118" s="11"/>
      <c r="H118" s="12">
        <v>0</v>
      </c>
      <c r="I118" s="12">
        <v>365</v>
      </c>
      <c r="J118" s="12">
        <v>365</v>
      </c>
      <c r="K118" s="12">
        <v>365</v>
      </c>
      <c r="L118" s="12">
        <v>366</v>
      </c>
      <c r="M118" s="12">
        <v>365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f>+G118-F118</f>
        <v>0</v>
      </c>
      <c r="T118" s="12">
        <f>SUM(H118:R118)</f>
        <v>1826</v>
      </c>
      <c r="U118" s="12">
        <f t="shared" si="65"/>
        <v>0</v>
      </c>
      <c r="V118" s="12">
        <f t="shared" si="68"/>
        <v>1241000</v>
      </c>
      <c r="W118" s="12">
        <f t="shared" si="52"/>
        <v>1241000</v>
      </c>
      <c r="X118" s="12">
        <f t="shared" si="53"/>
        <v>1241000</v>
      </c>
      <c r="Y118" s="12">
        <f t="shared" si="55"/>
        <v>1244400</v>
      </c>
      <c r="Z118" s="12">
        <f t="shared" si="56"/>
        <v>1241000</v>
      </c>
      <c r="AA118" s="12">
        <f t="shared" si="57"/>
        <v>0</v>
      </c>
      <c r="AB118" s="12">
        <f t="shared" si="58"/>
        <v>0</v>
      </c>
      <c r="AC118" s="12">
        <f t="shared" si="59"/>
        <v>0</v>
      </c>
      <c r="AD118" s="12">
        <f t="shared" si="60"/>
        <v>0</v>
      </c>
      <c r="AE118" s="12">
        <f t="shared" si="61"/>
        <v>0</v>
      </c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x14ac:dyDescent="0.2">
      <c r="A119" s="1" t="s">
        <v>72</v>
      </c>
      <c r="B119" s="10" t="s">
        <v>29</v>
      </c>
      <c r="C119">
        <v>26123</v>
      </c>
      <c r="D119">
        <v>2900</v>
      </c>
      <c r="E119" s="2">
        <v>0.15</v>
      </c>
      <c r="F119" s="27"/>
      <c r="G119" s="11">
        <v>36616</v>
      </c>
      <c r="H119" s="35">
        <f>G119-"12/31/99"</f>
        <v>91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12"/>
      <c r="T119" s="17"/>
      <c r="U119" s="12">
        <f t="shared" si="65"/>
        <v>263900</v>
      </c>
      <c r="V119" s="12">
        <f t="shared" si="68"/>
        <v>0</v>
      </c>
      <c r="W119" s="12">
        <f t="shared" si="52"/>
        <v>0</v>
      </c>
      <c r="X119" s="12">
        <f t="shared" si="53"/>
        <v>0</v>
      </c>
      <c r="Y119" s="12">
        <f t="shared" si="55"/>
        <v>0</v>
      </c>
      <c r="Z119" s="12">
        <f t="shared" si="56"/>
        <v>0</v>
      </c>
      <c r="AA119" s="12">
        <f t="shared" si="57"/>
        <v>0</v>
      </c>
      <c r="AB119" s="12">
        <f t="shared" si="58"/>
        <v>0</v>
      </c>
      <c r="AC119" s="12">
        <f t="shared" si="59"/>
        <v>0</v>
      </c>
      <c r="AD119" s="12">
        <f t="shared" si="60"/>
        <v>0</v>
      </c>
      <c r="AE119" s="12">
        <f t="shared" si="61"/>
        <v>0</v>
      </c>
      <c r="AG119" s="13">
        <f t="shared" ref="AG119:AQ119" si="71">+U119*$E119</f>
        <v>39585</v>
      </c>
      <c r="AH119" s="13">
        <f t="shared" si="71"/>
        <v>0</v>
      </c>
      <c r="AI119" s="13">
        <f t="shared" si="71"/>
        <v>0</v>
      </c>
      <c r="AJ119" s="13">
        <f t="shared" si="71"/>
        <v>0</v>
      </c>
      <c r="AK119" s="13">
        <f t="shared" si="71"/>
        <v>0</v>
      </c>
      <c r="AL119" s="13">
        <f t="shared" si="71"/>
        <v>0</v>
      </c>
      <c r="AM119" s="13">
        <f t="shared" si="71"/>
        <v>0</v>
      </c>
      <c r="AN119" s="13">
        <f t="shared" si="71"/>
        <v>0</v>
      </c>
      <c r="AO119" s="13">
        <f t="shared" si="71"/>
        <v>0</v>
      </c>
      <c r="AP119" s="13">
        <f t="shared" si="71"/>
        <v>0</v>
      </c>
      <c r="AQ119" s="13">
        <f t="shared" si="71"/>
        <v>0</v>
      </c>
    </row>
    <row r="120" spans="1:43" x14ac:dyDescent="0.2">
      <c r="A120" s="1" t="s">
        <v>72</v>
      </c>
      <c r="B120" s="10" t="s">
        <v>29</v>
      </c>
      <c r="C120">
        <v>26813</v>
      </c>
      <c r="D120">
        <v>3500</v>
      </c>
      <c r="E120" s="2" t="s">
        <v>13</v>
      </c>
      <c r="F120" s="27">
        <v>36646</v>
      </c>
      <c r="G120" s="11">
        <v>39506</v>
      </c>
      <c r="H120" s="12">
        <v>245</v>
      </c>
      <c r="I120" s="12">
        <v>365</v>
      </c>
      <c r="J120" s="12">
        <v>365</v>
      </c>
      <c r="K120" s="12">
        <v>365</v>
      </c>
      <c r="L120" s="12">
        <v>366</v>
      </c>
      <c r="M120" s="12">
        <v>365</v>
      </c>
      <c r="N120" s="12">
        <v>365</v>
      </c>
      <c r="O120" s="12">
        <v>365</v>
      </c>
      <c r="P120" s="12">
        <f>+G120-"12/31/2007"</f>
        <v>59</v>
      </c>
      <c r="Q120" s="12">
        <v>0</v>
      </c>
      <c r="R120" s="12">
        <v>0</v>
      </c>
      <c r="S120" s="12">
        <f>+G120-F120</f>
        <v>2860</v>
      </c>
      <c r="T120" s="12">
        <f>SUM(H120:R120)</f>
        <v>2860</v>
      </c>
      <c r="U120" s="12">
        <f t="shared" si="65"/>
        <v>857500</v>
      </c>
      <c r="V120" s="12">
        <f t="shared" si="68"/>
        <v>1277500</v>
      </c>
      <c r="W120" s="12">
        <f t="shared" si="52"/>
        <v>1277500</v>
      </c>
      <c r="X120" s="12">
        <f t="shared" si="53"/>
        <v>1277500</v>
      </c>
      <c r="Y120" s="12">
        <f t="shared" si="55"/>
        <v>1281000</v>
      </c>
      <c r="Z120" s="12">
        <f t="shared" si="56"/>
        <v>1277500</v>
      </c>
      <c r="AA120" s="12">
        <f t="shared" si="57"/>
        <v>1277500</v>
      </c>
      <c r="AB120" s="12">
        <f t="shared" si="58"/>
        <v>1277500</v>
      </c>
      <c r="AC120" s="12">
        <f t="shared" si="59"/>
        <v>206500</v>
      </c>
      <c r="AD120" s="12">
        <f t="shared" si="60"/>
        <v>0</v>
      </c>
      <c r="AE120" s="12">
        <f t="shared" si="61"/>
        <v>0</v>
      </c>
      <c r="AG120" s="13">
        <f>+U120*'CSF Rates'!C$12</f>
        <v>88708.374999999985</v>
      </c>
      <c r="AH120" s="13">
        <f>+V120*'CSF Rates'!D$12</f>
        <v>134862.70000000001</v>
      </c>
      <c r="AI120" s="13">
        <f>+W120*'CSF Rates'!E$12</f>
        <v>137673.20000000001</v>
      </c>
      <c r="AJ120" s="13">
        <f>+X120*'CSF Rates'!F$12</f>
        <v>140483.70000000001</v>
      </c>
      <c r="AK120" s="13">
        <f>+Y120*'CSF Rates'!G$12</f>
        <v>143706.84999999998</v>
      </c>
      <c r="AL120" s="13">
        <f>+Z120*'CSF Rates'!H$12</f>
        <v>146253.79999999999</v>
      </c>
      <c r="AM120" s="13">
        <f>+AA120*'CSF Rates'!I$12</f>
        <v>149213.40000000002</v>
      </c>
      <c r="AN120" s="13">
        <f>+AB120*'CSF Rates'!J$12</f>
        <v>152279.4</v>
      </c>
      <c r="AO120" s="13">
        <f>+AC120*'CSF Rates'!K$12</f>
        <v>25027.8</v>
      </c>
      <c r="AP120" s="13">
        <f>+AD120*'CSF Rates'!L$12</f>
        <v>0</v>
      </c>
      <c r="AQ120" s="13">
        <f>+AE120*'CSF Rates'!M$12</f>
        <v>0</v>
      </c>
    </row>
    <row r="121" spans="1:43" x14ac:dyDescent="0.2">
      <c r="A121" s="1" t="s">
        <v>72</v>
      </c>
      <c r="B121" s="10" t="s">
        <v>29</v>
      </c>
      <c r="C121">
        <v>27583</v>
      </c>
      <c r="D121">
        <v>1300</v>
      </c>
      <c r="E121" s="2"/>
      <c r="F121" s="27">
        <v>37012</v>
      </c>
      <c r="G121" s="11">
        <v>37407</v>
      </c>
      <c r="H121" s="14">
        <v>0</v>
      </c>
      <c r="I121" s="36">
        <f>"1/01/02"-F121</f>
        <v>245</v>
      </c>
      <c r="J121" s="15">
        <f>+G121-"12/31/01"</f>
        <v>151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f>+G121-F121</f>
        <v>395</v>
      </c>
      <c r="T121" s="12"/>
      <c r="U121" s="12">
        <f t="shared" ref="U121:U126" si="72">+H121*$D121</f>
        <v>0</v>
      </c>
      <c r="V121" s="12"/>
      <c r="W121" s="12"/>
      <c r="X121" s="12">
        <f t="shared" ref="X121:X126" si="73">+K121*$D121</f>
        <v>0</v>
      </c>
      <c r="Y121" s="12"/>
      <c r="Z121" s="12"/>
      <c r="AA121" s="12"/>
      <c r="AB121" s="12"/>
      <c r="AC121" s="12"/>
      <c r="AD121" s="12"/>
      <c r="AE121" s="12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x14ac:dyDescent="0.2">
      <c r="A122" s="1" t="s">
        <v>72</v>
      </c>
      <c r="B122" s="10" t="s">
        <v>69</v>
      </c>
      <c r="C122" s="31">
        <v>27340</v>
      </c>
      <c r="D122">
        <v>20000</v>
      </c>
      <c r="E122" s="2"/>
      <c r="F122" s="27">
        <v>36923</v>
      </c>
      <c r="G122" s="11">
        <v>37287</v>
      </c>
      <c r="H122" s="35">
        <v>0</v>
      </c>
      <c r="I122" s="35">
        <f>"1/1/02"-F122</f>
        <v>334</v>
      </c>
      <c r="J122" s="35">
        <f>+G122-"12/31/01"</f>
        <v>31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3"/>
      <c r="T122" s="17"/>
      <c r="U122" s="12">
        <f t="shared" si="72"/>
        <v>0</v>
      </c>
      <c r="V122" s="12">
        <f t="shared" ref="V122:W125" si="74">+I122*$D122</f>
        <v>6680000</v>
      </c>
      <c r="W122" s="12">
        <f t="shared" si="74"/>
        <v>620000</v>
      </c>
      <c r="X122" s="12">
        <f t="shared" si="73"/>
        <v>0</v>
      </c>
      <c r="Y122" s="12">
        <f t="shared" ref="Y122:AE126" si="75">+L122*$D122</f>
        <v>0</v>
      </c>
      <c r="Z122" s="12">
        <f t="shared" si="75"/>
        <v>0</v>
      </c>
      <c r="AA122" s="12">
        <f t="shared" si="75"/>
        <v>0</v>
      </c>
      <c r="AB122" s="12">
        <f t="shared" si="75"/>
        <v>0</v>
      </c>
      <c r="AC122" s="12">
        <f t="shared" si="75"/>
        <v>0</v>
      </c>
      <c r="AD122" s="12">
        <f t="shared" si="75"/>
        <v>0</v>
      </c>
      <c r="AE122" s="12">
        <f t="shared" si="75"/>
        <v>0</v>
      </c>
      <c r="AG122" s="13">
        <f t="shared" ref="AG122:AQ122" si="76">+U122*$E122</f>
        <v>0</v>
      </c>
      <c r="AH122" s="13">
        <f t="shared" si="76"/>
        <v>0</v>
      </c>
      <c r="AI122" s="13">
        <f t="shared" si="76"/>
        <v>0</v>
      </c>
      <c r="AJ122" s="13">
        <f t="shared" si="76"/>
        <v>0</v>
      </c>
      <c r="AK122" s="13">
        <f t="shared" si="76"/>
        <v>0</v>
      </c>
      <c r="AL122" s="13">
        <f t="shared" si="76"/>
        <v>0</v>
      </c>
      <c r="AM122" s="13">
        <f t="shared" si="76"/>
        <v>0</v>
      </c>
      <c r="AN122" s="13">
        <f t="shared" si="76"/>
        <v>0</v>
      </c>
      <c r="AO122" s="13">
        <f t="shared" si="76"/>
        <v>0</v>
      </c>
      <c r="AP122" s="13">
        <f t="shared" si="76"/>
        <v>0</v>
      </c>
      <c r="AQ122" s="13">
        <f t="shared" si="76"/>
        <v>0</v>
      </c>
    </row>
    <row r="123" spans="1:43" x14ac:dyDescent="0.2">
      <c r="A123" s="1" t="s">
        <v>72</v>
      </c>
      <c r="B123" s="10" t="s">
        <v>36</v>
      </c>
      <c r="C123">
        <v>21165</v>
      </c>
      <c r="D123">
        <v>150000</v>
      </c>
      <c r="E123" s="2" t="s">
        <v>13</v>
      </c>
      <c r="F123" s="37">
        <v>33679</v>
      </c>
      <c r="G123" s="11">
        <v>39172</v>
      </c>
      <c r="H123" s="12">
        <v>366</v>
      </c>
      <c r="I123" s="12">
        <v>365</v>
      </c>
      <c r="J123" s="12">
        <v>365</v>
      </c>
      <c r="K123" s="12">
        <v>365</v>
      </c>
      <c r="L123" s="12">
        <v>366</v>
      </c>
      <c r="M123" s="12">
        <v>365</v>
      </c>
      <c r="N123" s="12">
        <v>365</v>
      </c>
      <c r="O123" s="12">
        <f>G123-"12/31/06"</f>
        <v>90</v>
      </c>
      <c r="P123" s="12">
        <v>0</v>
      </c>
      <c r="Q123" s="12">
        <v>0</v>
      </c>
      <c r="R123" s="12">
        <v>0</v>
      </c>
      <c r="S123" s="12"/>
      <c r="T123" s="17"/>
      <c r="U123" s="12">
        <f t="shared" si="72"/>
        <v>54900000</v>
      </c>
      <c r="V123" s="12">
        <f t="shared" si="74"/>
        <v>54750000</v>
      </c>
      <c r="W123" s="12">
        <f t="shared" si="74"/>
        <v>54750000</v>
      </c>
      <c r="X123" s="12">
        <f t="shared" si="73"/>
        <v>54750000</v>
      </c>
      <c r="Y123" s="12">
        <f t="shared" si="75"/>
        <v>54900000</v>
      </c>
      <c r="Z123" s="12">
        <f t="shared" si="75"/>
        <v>54750000</v>
      </c>
      <c r="AA123" s="12">
        <f t="shared" si="75"/>
        <v>54750000</v>
      </c>
      <c r="AB123" s="12">
        <f t="shared" si="75"/>
        <v>13500000</v>
      </c>
      <c r="AC123" s="12">
        <f t="shared" si="75"/>
        <v>0</v>
      </c>
      <c r="AD123" s="12">
        <f t="shared" si="75"/>
        <v>0</v>
      </c>
      <c r="AE123" s="12">
        <f t="shared" si="75"/>
        <v>0</v>
      </c>
      <c r="AG123" s="13">
        <f>+U123*'CSF Rates'!C14</f>
        <v>14094660.000000002</v>
      </c>
      <c r="AH123" s="13">
        <f>+V123*'CSF Rates'!D14</f>
        <v>14496818.700000005</v>
      </c>
      <c r="AI123" s="13">
        <f>+W123*'CSF Rates'!E14</f>
        <v>14786755.074000003</v>
      </c>
      <c r="AJ123" s="13">
        <f>+X123*'CSF Rates'!F14</f>
        <v>15082490.175480003</v>
      </c>
      <c r="AK123" s="13">
        <f>+Y123*'CSF Rates'!G14</f>
        <v>15426147.897669602</v>
      </c>
      <c r="AL123" s="13">
        <f>+Z123*'CSF Rates'!H14</f>
        <v>15691822.778569393</v>
      </c>
      <c r="AM123" s="13">
        <f>+AA123*'CSF Rates'!I14</f>
        <v>16005659.234140782</v>
      </c>
      <c r="AN123" s="13">
        <f>+AB123*'CSF Rates'!J14</f>
        <v>4025532.925189381</v>
      </c>
      <c r="AO123" s="13">
        <f>+AC123*'CSF Rates'!K14</f>
        <v>0</v>
      </c>
      <c r="AP123" s="13">
        <f>+AD123*'CSF Rates'!L14</f>
        <v>0</v>
      </c>
      <c r="AQ123" s="13">
        <f>+AE123*'CSF Rates'!M14</f>
        <v>0</v>
      </c>
    </row>
    <row r="124" spans="1:43" x14ac:dyDescent="0.2">
      <c r="A124" s="1" t="s">
        <v>72</v>
      </c>
      <c r="B124" s="10" t="s">
        <v>75</v>
      </c>
      <c r="C124">
        <v>21162</v>
      </c>
      <c r="D124">
        <v>0</v>
      </c>
      <c r="E124" s="2" t="s">
        <v>13</v>
      </c>
      <c r="F124" s="27"/>
      <c r="G124" s="11">
        <v>39156</v>
      </c>
      <c r="H124" s="12">
        <v>366</v>
      </c>
      <c r="I124" s="12">
        <v>365</v>
      </c>
      <c r="J124" s="12">
        <v>365</v>
      </c>
      <c r="K124" s="12">
        <v>365</v>
      </c>
      <c r="L124" s="12">
        <v>366</v>
      </c>
      <c r="M124" s="12">
        <v>365</v>
      </c>
      <c r="N124" s="12">
        <v>365</v>
      </c>
      <c r="O124" s="12">
        <f>G124-"12/31/06"</f>
        <v>74</v>
      </c>
      <c r="P124" s="12">
        <v>0</v>
      </c>
      <c r="Q124" s="12">
        <v>0</v>
      </c>
      <c r="R124" s="12">
        <v>0</v>
      </c>
      <c r="S124" s="12"/>
      <c r="T124" s="17"/>
      <c r="U124" s="12">
        <f t="shared" si="72"/>
        <v>0</v>
      </c>
      <c r="V124" s="12">
        <f t="shared" si="74"/>
        <v>0</v>
      </c>
      <c r="W124" s="12">
        <f t="shared" si="74"/>
        <v>0</v>
      </c>
      <c r="X124" s="12">
        <f t="shared" si="73"/>
        <v>0</v>
      </c>
      <c r="Y124" s="12">
        <f t="shared" si="75"/>
        <v>0</v>
      </c>
      <c r="Z124" s="12">
        <f t="shared" si="75"/>
        <v>0</v>
      </c>
      <c r="AA124" s="12">
        <f t="shared" si="75"/>
        <v>0</v>
      </c>
      <c r="AB124" s="12">
        <f t="shared" si="75"/>
        <v>0</v>
      </c>
      <c r="AC124" s="12">
        <f t="shared" si="75"/>
        <v>0</v>
      </c>
      <c r="AD124" s="12">
        <f t="shared" si="75"/>
        <v>0</v>
      </c>
      <c r="AE124" s="12">
        <f t="shared" si="75"/>
        <v>0</v>
      </c>
      <c r="AG124" s="13">
        <f>+U124*'CSF Rates'!C14</f>
        <v>0</v>
      </c>
      <c r="AH124" s="13">
        <f>+V124*'CSF Rates'!D14</f>
        <v>0</v>
      </c>
      <c r="AI124" s="13">
        <f>+W124*'CSF Rates'!E14</f>
        <v>0</v>
      </c>
      <c r="AJ124" s="13">
        <f>+X124*'CSF Rates'!F14</f>
        <v>0</v>
      </c>
      <c r="AK124" s="13">
        <f>+Y124*'CSF Rates'!G14</f>
        <v>0</v>
      </c>
      <c r="AL124" s="13">
        <f>+Z124*'CSF Rates'!H14</f>
        <v>0</v>
      </c>
      <c r="AM124" s="13">
        <f>+AA124*'CSF Rates'!I14</f>
        <v>0</v>
      </c>
      <c r="AN124" s="13">
        <f>+AB124*'CSF Rates'!J14</f>
        <v>0</v>
      </c>
      <c r="AO124" s="13">
        <f>+AC124*'CSF Rates'!K14</f>
        <v>0</v>
      </c>
      <c r="AP124" s="13">
        <f>+AD124*'CSF Rates'!L14</f>
        <v>0</v>
      </c>
      <c r="AQ124" s="13">
        <f>+AE124*'CSF Rates'!M14</f>
        <v>0</v>
      </c>
    </row>
    <row r="125" spans="1:43" x14ac:dyDescent="0.2">
      <c r="A125" s="1" t="s">
        <v>72</v>
      </c>
      <c r="B125" s="10" t="s">
        <v>26</v>
      </c>
      <c r="C125" s="29">
        <v>25841</v>
      </c>
      <c r="D125">
        <v>40000</v>
      </c>
      <c r="E125" s="2">
        <v>8.7499999999999994E-2</v>
      </c>
      <c r="F125" s="27">
        <v>35827</v>
      </c>
      <c r="G125" s="11">
        <v>37560</v>
      </c>
      <c r="H125" s="35">
        <v>366</v>
      </c>
      <c r="I125" s="35">
        <v>365</v>
      </c>
      <c r="J125" s="35">
        <f>+G125-"12/31/01"</f>
        <v>304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12"/>
      <c r="T125" s="17"/>
      <c r="U125" s="12">
        <f t="shared" si="72"/>
        <v>14640000</v>
      </c>
      <c r="V125" s="12">
        <f t="shared" si="74"/>
        <v>14600000</v>
      </c>
      <c r="W125" s="12">
        <f t="shared" si="74"/>
        <v>12160000</v>
      </c>
      <c r="X125" s="12">
        <f t="shared" si="73"/>
        <v>0</v>
      </c>
      <c r="Y125" s="12">
        <f t="shared" si="75"/>
        <v>0</v>
      </c>
      <c r="Z125" s="12">
        <f t="shared" si="75"/>
        <v>0</v>
      </c>
      <c r="AA125" s="12">
        <f t="shared" si="75"/>
        <v>0</v>
      </c>
      <c r="AB125" s="12">
        <f t="shared" si="75"/>
        <v>0</v>
      </c>
      <c r="AC125" s="12">
        <f t="shared" si="75"/>
        <v>0</v>
      </c>
      <c r="AD125" s="12">
        <f t="shared" si="75"/>
        <v>0</v>
      </c>
      <c r="AE125" s="12">
        <f t="shared" si="75"/>
        <v>0</v>
      </c>
      <c r="AG125" s="13">
        <f t="shared" ref="AG125:AQ125" si="77">+U125*$E125</f>
        <v>1281000</v>
      </c>
      <c r="AH125" s="13">
        <f t="shared" si="77"/>
        <v>1277500</v>
      </c>
      <c r="AI125" s="13">
        <f t="shared" si="77"/>
        <v>1064000</v>
      </c>
      <c r="AJ125" s="13">
        <f t="shared" si="77"/>
        <v>0</v>
      </c>
      <c r="AK125" s="13">
        <f t="shared" si="77"/>
        <v>0</v>
      </c>
      <c r="AL125" s="13">
        <f t="shared" si="77"/>
        <v>0</v>
      </c>
      <c r="AM125" s="13">
        <f t="shared" si="77"/>
        <v>0</v>
      </c>
      <c r="AN125" s="13">
        <f t="shared" si="77"/>
        <v>0</v>
      </c>
      <c r="AO125" s="13">
        <f t="shared" si="77"/>
        <v>0</v>
      </c>
      <c r="AP125" s="13">
        <f t="shared" si="77"/>
        <v>0</v>
      </c>
      <c r="AQ125" s="13">
        <f t="shared" si="77"/>
        <v>0</v>
      </c>
    </row>
    <row r="126" spans="1:43" x14ac:dyDescent="0.2">
      <c r="A126" s="1" t="s">
        <v>72</v>
      </c>
      <c r="B126" s="10" t="s">
        <v>26</v>
      </c>
      <c r="C126" s="29">
        <v>26511</v>
      </c>
      <c r="D126">
        <v>21000</v>
      </c>
      <c r="E126" s="2"/>
      <c r="F126" s="27">
        <v>36100</v>
      </c>
      <c r="G126" s="11">
        <v>37560</v>
      </c>
      <c r="H126" s="35">
        <v>366</v>
      </c>
      <c r="I126" s="35">
        <v>365</v>
      </c>
      <c r="J126" s="35">
        <f>+G126-"12/31/01"</f>
        <v>304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12"/>
      <c r="T126" s="17"/>
      <c r="U126" s="12">
        <f t="shared" si="72"/>
        <v>7686000</v>
      </c>
      <c r="V126" s="12">
        <f t="shared" si="51"/>
        <v>7665000</v>
      </c>
      <c r="W126" s="12">
        <f>+J126*$D126</f>
        <v>6384000</v>
      </c>
      <c r="X126" s="12">
        <f t="shared" si="73"/>
        <v>0</v>
      </c>
      <c r="Y126" s="12">
        <f t="shared" si="75"/>
        <v>0</v>
      </c>
      <c r="Z126" s="12">
        <f t="shared" si="75"/>
        <v>0</v>
      </c>
      <c r="AA126" s="12">
        <f t="shared" si="75"/>
        <v>0</v>
      </c>
      <c r="AB126" s="12">
        <f t="shared" si="75"/>
        <v>0</v>
      </c>
      <c r="AC126" s="12">
        <f t="shared" si="75"/>
        <v>0</v>
      </c>
      <c r="AD126" s="12">
        <f t="shared" si="75"/>
        <v>0</v>
      </c>
      <c r="AE126" s="12">
        <f t="shared" si="75"/>
        <v>0</v>
      </c>
      <c r="AG126" s="13">
        <f>+U126*'CSF Rates'!C53</f>
        <v>0</v>
      </c>
      <c r="AH126" s="13">
        <f>+V126*'CSF Rates'!D53</f>
        <v>0</v>
      </c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x14ac:dyDescent="0.2">
      <c r="A127" s="1" t="s">
        <v>72</v>
      </c>
      <c r="B127" s="10" t="s">
        <v>67</v>
      </c>
      <c r="C127" s="31">
        <v>26819</v>
      </c>
      <c r="D127">
        <v>10000</v>
      </c>
      <c r="E127" s="2"/>
      <c r="F127" s="27">
        <v>36647</v>
      </c>
      <c r="G127" s="11">
        <v>38472</v>
      </c>
      <c r="H127" s="36">
        <f>"1/01/01"-F127</f>
        <v>245</v>
      </c>
      <c r="I127" s="35">
        <v>365</v>
      </c>
      <c r="J127" s="35">
        <v>365</v>
      </c>
      <c r="K127" s="35">
        <v>365</v>
      </c>
      <c r="L127" s="35">
        <v>366</v>
      </c>
      <c r="M127" s="35">
        <f>+G127-"12/31/04"</f>
        <v>120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12"/>
      <c r="T127" s="17"/>
      <c r="U127" s="12">
        <f t="shared" si="65"/>
        <v>2450000</v>
      </c>
      <c r="V127" s="12">
        <f t="shared" si="51"/>
        <v>3650000</v>
      </c>
      <c r="W127" s="12">
        <f t="shared" si="52"/>
        <v>3650000</v>
      </c>
      <c r="X127" s="12">
        <f t="shared" si="53"/>
        <v>3650000</v>
      </c>
      <c r="Y127" s="12">
        <f t="shared" si="55"/>
        <v>3660000</v>
      </c>
      <c r="Z127" s="12">
        <f t="shared" si="56"/>
        <v>1200000</v>
      </c>
      <c r="AA127" s="12">
        <f t="shared" si="57"/>
        <v>0</v>
      </c>
      <c r="AB127" s="12">
        <f t="shared" si="58"/>
        <v>0</v>
      </c>
      <c r="AC127" s="12">
        <f t="shared" si="59"/>
        <v>0</v>
      </c>
      <c r="AD127" s="12">
        <f t="shared" si="60"/>
        <v>0</v>
      </c>
      <c r="AE127" s="12">
        <f t="shared" si="61"/>
        <v>0</v>
      </c>
      <c r="AG127" s="13">
        <f t="shared" ref="AG127:AQ127" si="78">+U127*$E127</f>
        <v>0</v>
      </c>
      <c r="AH127" s="13">
        <f t="shared" si="78"/>
        <v>0</v>
      </c>
      <c r="AI127" s="13">
        <f t="shared" si="78"/>
        <v>0</v>
      </c>
      <c r="AJ127" s="13">
        <f t="shared" si="78"/>
        <v>0</v>
      </c>
      <c r="AK127" s="13">
        <f t="shared" si="78"/>
        <v>0</v>
      </c>
      <c r="AL127" s="13">
        <f t="shared" si="78"/>
        <v>0</v>
      </c>
      <c r="AM127" s="13">
        <f t="shared" si="78"/>
        <v>0</v>
      </c>
      <c r="AN127" s="13">
        <f t="shared" si="78"/>
        <v>0</v>
      </c>
      <c r="AO127" s="13">
        <f t="shared" si="78"/>
        <v>0</v>
      </c>
      <c r="AP127" s="13">
        <f t="shared" si="78"/>
        <v>0</v>
      </c>
      <c r="AQ127" s="13">
        <f t="shared" si="78"/>
        <v>0</v>
      </c>
    </row>
    <row r="128" spans="1:43" ht="13.5" thickBot="1" x14ac:dyDescent="0.25">
      <c r="A128" s="1" t="s">
        <v>72</v>
      </c>
      <c r="B128" s="82" t="s">
        <v>58</v>
      </c>
      <c r="C128" s="4">
        <v>27454</v>
      </c>
      <c r="D128" s="4">
        <v>27500</v>
      </c>
      <c r="E128" s="5" t="s">
        <v>13</v>
      </c>
      <c r="F128" s="86">
        <v>37256</v>
      </c>
      <c r="G128" s="88">
        <v>37621</v>
      </c>
      <c r="H128" s="90">
        <v>0</v>
      </c>
      <c r="I128" s="90">
        <v>0</v>
      </c>
      <c r="J128" s="90">
        <v>365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0</v>
      </c>
      <c r="S128" s="12">
        <f>+G128-F128</f>
        <v>365</v>
      </c>
      <c r="T128" s="12">
        <f>SUM(H128:R128)</f>
        <v>365</v>
      </c>
      <c r="U128" s="90">
        <f t="shared" si="65"/>
        <v>0</v>
      </c>
      <c r="V128" s="90">
        <v>0</v>
      </c>
      <c r="W128" s="90">
        <f t="shared" ref="W128:W140" si="79">+J128*$D128</f>
        <v>10037500</v>
      </c>
      <c r="X128" s="90">
        <f t="shared" ref="X128:X140" si="80">+K128*$D128</f>
        <v>0</v>
      </c>
      <c r="Y128" s="90">
        <f t="shared" si="55"/>
        <v>0</v>
      </c>
      <c r="Z128" s="90">
        <f t="shared" si="56"/>
        <v>0</v>
      </c>
      <c r="AA128" s="90">
        <f t="shared" ref="AA128:AA140" si="81">+N128*$D128</f>
        <v>0</v>
      </c>
      <c r="AB128" s="90">
        <f t="shared" ref="AB128:AB140" si="82">+O128*$D128</f>
        <v>0</v>
      </c>
      <c r="AC128" s="90">
        <f t="shared" ref="AC128:AC140" si="83">+P128*$D128</f>
        <v>0</v>
      </c>
      <c r="AD128" s="90">
        <f t="shared" ref="AD128:AD140" si="84">+Q128*$D128</f>
        <v>0</v>
      </c>
      <c r="AE128" s="90">
        <f t="shared" ref="AE128:AE140" si="85">+R128*$D128</f>
        <v>0</v>
      </c>
      <c r="AG128" s="92">
        <f>+U128*'CSF Rates'!C$12</f>
        <v>0</v>
      </c>
      <c r="AH128" s="92">
        <f>+V128*'CSF Rates'!D$12</f>
        <v>0</v>
      </c>
      <c r="AI128" s="92">
        <f>+W128*'CSF Rates'!E$12</f>
        <v>1081718</v>
      </c>
      <c r="AJ128" s="92">
        <f>+X128*'CSF Rates'!F$12</f>
        <v>0</v>
      </c>
      <c r="AK128" s="92">
        <f>+Y128*'CSF Rates'!G$12</f>
        <v>0</v>
      </c>
      <c r="AL128" s="92">
        <f>+Z128*'CSF Rates'!H$12</f>
        <v>0</v>
      </c>
      <c r="AM128" s="92">
        <f>+AA128*'CSF Rates'!I$12</f>
        <v>0</v>
      </c>
      <c r="AN128" s="92">
        <f>+AB128*'CSF Rates'!J$12</f>
        <v>0</v>
      </c>
      <c r="AO128" s="92">
        <f>+AC128*'CSF Rates'!K$12</f>
        <v>0</v>
      </c>
      <c r="AP128" s="92">
        <f>+AD128*'CSF Rates'!L$12</f>
        <v>0</v>
      </c>
      <c r="AQ128" s="92">
        <f>+AE128*'CSF Rates'!M$12</f>
        <v>0</v>
      </c>
    </row>
    <row r="129" spans="1:43" x14ac:dyDescent="0.2">
      <c r="A129" s="1" t="s">
        <v>72</v>
      </c>
      <c r="B129" s="10" t="s">
        <v>18</v>
      </c>
      <c r="C129">
        <v>20746</v>
      </c>
      <c r="D129">
        <v>20000</v>
      </c>
      <c r="E129" s="2" t="s">
        <v>13</v>
      </c>
      <c r="F129" s="27">
        <v>35855</v>
      </c>
      <c r="G129" s="11">
        <v>39141</v>
      </c>
      <c r="H129" s="12">
        <v>366</v>
      </c>
      <c r="I129" s="12">
        <v>365</v>
      </c>
      <c r="J129" s="12">
        <v>365</v>
      </c>
      <c r="K129" s="12">
        <v>365</v>
      </c>
      <c r="L129" s="12">
        <v>366</v>
      </c>
      <c r="M129" s="12">
        <v>365</v>
      </c>
      <c r="N129" s="12">
        <f>G129-"12/31/05"</f>
        <v>424</v>
      </c>
      <c r="O129" s="12">
        <v>0</v>
      </c>
      <c r="P129" s="12">
        <v>0</v>
      </c>
      <c r="Q129" s="12">
        <v>0</v>
      </c>
      <c r="R129" s="12">
        <v>0</v>
      </c>
      <c r="S129" s="12"/>
      <c r="T129" s="17"/>
      <c r="U129" s="12">
        <f t="shared" ref="U129:U140" si="86">+H129*$D129</f>
        <v>7320000</v>
      </c>
      <c r="V129" s="12">
        <f t="shared" ref="V129:V140" si="87">+I129*$D129</f>
        <v>7300000</v>
      </c>
      <c r="W129" s="12">
        <f t="shared" si="79"/>
        <v>7300000</v>
      </c>
      <c r="X129" s="12">
        <f t="shared" si="80"/>
        <v>7300000</v>
      </c>
      <c r="Y129" s="12">
        <f t="shared" ref="Y129:Y140" si="88">+L129*$D129</f>
        <v>7320000</v>
      </c>
      <c r="Z129" s="12">
        <f t="shared" ref="Z129:Z140" si="89">+M129*$D129</f>
        <v>7300000</v>
      </c>
      <c r="AA129" s="12">
        <f t="shared" si="81"/>
        <v>8480000</v>
      </c>
      <c r="AB129" s="12">
        <f t="shared" si="82"/>
        <v>0</v>
      </c>
      <c r="AC129" s="12">
        <f t="shared" si="83"/>
        <v>0</v>
      </c>
      <c r="AD129" s="12">
        <f t="shared" si="84"/>
        <v>0</v>
      </c>
      <c r="AE129" s="12">
        <f t="shared" si="85"/>
        <v>0</v>
      </c>
      <c r="AG129" s="13">
        <f>+U129*'CSF Rates'!C14</f>
        <v>1879288.0000000002</v>
      </c>
      <c r="AH129" s="13">
        <f>+V129*'CSF Rates'!D14</f>
        <v>1932909.1600000006</v>
      </c>
      <c r="AI129" s="13">
        <f>+W129*'CSF Rates'!E14</f>
        <v>1971567.3432000005</v>
      </c>
      <c r="AJ129" s="13">
        <f>+X129*'CSF Rates'!F14</f>
        <v>2010998.6900640004</v>
      </c>
      <c r="AK129" s="13">
        <f>+Y129*'CSF Rates'!G14</f>
        <v>2056819.7196892803</v>
      </c>
      <c r="AL129" s="13">
        <f>+Z129*'CSF Rates'!H14</f>
        <v>2092243.0371425857</v>
      </c>
      <c r="AM129" s="13">
        <f>+AA129*'CSF Rates'!I14</f>
        <v>2479050.0512422617</v>
      </c>
      <c r="AN129" s="13">
        <f>+AB129*'CSF Rates'!J14</f>
        <v>0</v>
      </c>
      <c r="AO129" s="13">
        <f>+AC129*'CSF Rates'!K14</f>
        <v>0</v>
      </c>
      <c r="AP129" s="13">
        <f>+AD129*'CSF Rates'!L14</f>
        <v>0</v>
      </c>
      <c r="AQ129" s="13">
        <f>+AE129*'CSF Rates'!M14</f>
        <v>0</v>
      </c>
    </row>
    <row r="130" spans="1:43" x14ac:dyDescent="0.2">
      <c r="A130" s="1" t="s">
        <v>72</v>
      </c>
      <c r="B130" s="10" t="s">
        <v>49</v>
      </c>
      <c r="C130">
        <v>26816</v>
      </c>
      <c r="D130">
        <v>21500</v>
      </c>
      <c r="E130" s="2" t="s">
        <v>13</v>
      </c>
      <c r="F130" s="27">
        <v>36646</v>
      </c>
      <c r="G130" s="11">
        <v>38472</v>
      </c>
      <c r="H130" s="12">
        <v>245</v>
      </c>
      <c r="I130" s="12">
        <v>365</v>
      </c>
      <c r="J130" s="12">
        <v>365</v>
      </c>
      <c r="K130" s="12">
        <v>365</v>
      </c>
      <c r="L130" s="12">
        <v>366</v>
      </c>
      <c r="M130" s="14">
        <f>G130-"12/31/2004"</f>
        <v>120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f>+G130-F130</f>
        <v>1826</v>
      </c>
      <c r="T130" s="12">
        <f>SUM(H130:R130)</f>
        <v>1826</v>
      </c>
      <c r="U130" s="12">
        <f t="shared" si="86"/>
        <v>5267500</v>
      </c>
      <c r="V130" s="12">
        <f t="shared" si="87"/>
        <v>7847500</v>
      </c>
      <c r="W130" s="12">
        <f t="shared" si="79"/>
        <v>7847500</v>
      </c>
      <c r="X130" s="12">
        <f t="shared" si="80"/>
        <v>7847500</v>
      </c>
      <c r="Y130" s="12">
        <f t="shared" si="88"/>
        <v>7869000</v>
      </c>
      <c r="Z130" s="12">
        <f t="shared" si="89"/>
        <v>2580000</v>
      </c>
      <c r="AA130" s="12">
        <f t="shared" si="81"/>
        <v>0</v>
      </c>
      <c r="AB130" s="12">
        <f t="shared" si="82"/>
        <v>0</v>
      </c>
      <c r="AC130" s="12">
        <f t="shared" si="83"/>
        <v>0</v>
      </c>
      <c r="AD130" s="12">
        <f t="shared" si="84"/>
        <v>0</v>
      </c>
      <c r="AE130" s="12">
        <f t="shared" si="85"/>
        <v>0</v>
      </c>
      <c r="AG130" s="13">
        <f>+U130*'CSF Rates'!C$12</f>
        <v>544922.87499999988</v>
      </c>
      <c r="AH130" s="13">
        <f>+V130*'CSF Rates'!D$12</f>
        <v>828442.3</v>
      </c>
      <c r="AI130" s="13">
        <f>+W130*'CSF Rates'!E$12</f>
        <v>845706.8</v>
      </c>
      <c r="AJ130" s="13">
        <f>+X130*'CSF Rates'!F$12</f>
        <v>862971.3</v>
      </c>
      <c r="AK130" s="13">
        <f>+Y130*'CSF Rates'!G$12</f>
        <v>882770.64999999991</v>
      </c>
      <c r="AL130" s="13">
        <f>+Z130*'CSF Rates'!H$12</f>
        <v>295369.70958904113</v>
      </c>
      <c r="AM130" s="13">
        <f>+AA130*'CSF Rates'!I$12</f>
        <v>0</v>
      </c>
      <c r="AN130" s="13">
        <f>+AB130*'CSF Rates'!J$12</f>
        <v>0</v>
      </c>
      <c r="AO130" s="13">
        <f>+AC130*'CSF Rates'!K$12</f>
        <v>0</v>
      </c>
      <c r="AP130" s="13">
        <f>+AD130*'CSF Rates'!L$12</f>
        <v>0</v>
      </c>
      <c r="AQ130" s="13">
        <f>+AE130*'CSF Rates'!M$12</f>
        <v>0</v>
      </c>
    </row>
    <row r="131" spans="1:43" x14ac:dyDescent="0.2">
      <c r="A131" s="1" t="s">
        <v>72</v>
      </c>
      <c r="B131" s="10" t="s">
        <v>49</v>
      </c>
      <c r="C131" s="31">
        <v>27293</v>
      </c>
      <c r="D131">
        <v>49000</v>
      </c>
      <c r="E131" s="2"/>
      <c r="F131" s="27">
        <v>36831</v>
      </c>
      <c r="G131" s="11">
        <v>37195</v>
      </c>
      <c r="H131" s="36">
        <f>"1/01/01"-F131</f>
        <v>61</v>
      </c>
      <c r="I131" s="15">
        <f>+G131-"12/31/00"</f>
        <v>304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12"/>
      <c r="T131" s="17"/>
      <c r="U131" s="12">
        <f t="shared" si="86"/>
        <v>2989000</v>
      </c>
      <c r="V131" s="12">
        <f t="shared" si="87"/>
        <v>14896000</v>
      </c>
      <c r="W131" s="12">
        <f t="shared" si="79"/>
        <v>0</v>
      </c>
      <c r="X131" s="12">
        <f t="shared" si="80"/>
        <v>0</v>
      </c>
      <c r="Y131" s="12">
        <f t="shared" si="88"/>
        <v>0</v>
      </c>
      <c r="Z131" s="12">
        <f t="shared" si="89"/>
        <v>0</v>
      </c>
      <c r="AA131" s="12">
        <f t="shared" si="81"/>
        <v>0</v>
      </c>
      <c r="AB131" s="12">
        <f t="shared" si="82"/>
        <v>0</v>
      </c>
      <c r="AC131" s="12">
        <f t="shared" si="83"/>
        <v>0</v>
      </c>
      <c r="AD131" s="12">
        <f t="shared" si="84"/>
        <v>0</v>
      </c>
      <c r="AE131" s="12">
        <f t="shared" si="85"/>
        <v>0</v>
      </c>
      <c r="AG131" s="13">
        <f t="shared" ref="AG131:AQ132" si="90">+U131*$E131</f>
        <v>0</v>
      </c>
      <c r="AH131" s="13">
        <f t="shared" si="90"/>
        <v>0</v>
      </c>
      <c r="AI131" s="13">
        <f t="shared" si="90"/>
        <v>0</v>
      </c>
      <c r="AJ131" s="13">
        <f t="shared" si="90"/>
        <v>0</v>
      </c>
      <c r="AK131" s="13">
        <f t="shared" si="90"/>
        <v>0</v>
      </c>
      <c r="AL131" s="13">
        <f t="shared" si="90"/>
        <v>0</v>
      </c>
      <c r="AM131" s="13">
        <f t="shared" si="90"/>
        <v>0</v>
      </c>
      <c r="AN131" s="13">
        <f t="shared" si="90"/>
        <v>0</v>
      </c>
      <c r="AO131" s="13">
        <f t="shared" si="90"/>
        <v>0</v>
      </c>
      <c r="AP131" s="13">
        <f t="shared" si="90"/>
        <v>0</v>
      </c>
      <c r="AQ131" s="13">
        <f t="shared" si="90"/>
        <v>0</v>
      </c>
    </row>
    <row r="132" spans="1:43" x14ac:dyDescent="0.2">
      <c r="A132" s="1" t="s">
        <v>72</v>
      </c>
      <c r="B132" s="10" t="s">
        <v>49</v>
      </c>
      <c r="C132" s="31">
        <v>27352</v>
      </c>
      <c r="D132">
        <v>21500</v>
      </c>
      <c r="E132" s="2"/>
      <c r="F132" s="27">
        <v>37196</v>
      </c>
      <c r="G132" s="11">
        <v>37560</v>
      </c>
      <c r="H132" s="35">
        <v>0</v>
      </c>
      <c r="I132" s="36">
        <f>"1/01/02"-F132</f>
        <v>61</v>
      </c>
      <c r="J132" s="15">
        <f>+G132-"12/31/01"</f>
        <v>304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3"/>
      <c r="T132" s="17"/>
      <c r="U132" s="12">
        <f t="shared" si="86"/>
        <v>0</v>
      </c>
      <c r="V132" s="12">
        <f t="shared" si="87"/>
        <v>1311500</v>
      </c>
      <c r="W132" s="12">
        <f t="shared" si="79"/>
        <v>6536000</v>
      </c>
      <c r="X132" s="12">
        <f t="shared" si="80"/>
        <v>0</v>
      </c>
      <c r="Y132" s="12">
        <f t="shared" si="88"/>
        <v>0</v>
      </c>
      <c r="Z132" s="12">
        <f t="shared" si="89"/>
        <v>0</v>
      </c>
      <c r="AA132" s="12">
        <f t="shared" si="81"/>
        <v>0</v>
      </c>
      <c r="AB132" s="12">
        <f t="shared" si="82"/>
        <v>0</v>
      </c>
      <c r="AC132" s="12">
        <f t="shared" si="83"/>
        <v>0</v>
      </c>
      <c r="AD132" s="12">
        <f t="shared" si="84"/>
        <v>0</v>
      </c>
      <c r="AE132" s="12">
        <f t="shared" si="85"/>
        <v>0</v>
      </c>
      <c r="AG132" s="13">
        <f t="shared" si="90"/>
        <v>0</v>
      </c>
      <c r="AH132" s="13">
        <f t="shared" si="90"/>
        <v>0</v>
      </c>
      <c r="AI132" s="13">
        <f t="shared" si="90"/>
        <v>0</v>
      </c>
      <c r="AJ132" s="13">
        <f t="shared" si="90"/>
        <v>0</v>
      </c>
      <c r="AK132" s="13">
        <f t="shared" si="90"/>
        <v>0</v>
      </c>
      <c r="AL132" s="13">
        <f t="shared" si="90"/>
        <v>0</v>
      </c>
      <c r="AM132" s="13">
        <f t="shared" si="90"/>
        <v>0</v>
      </c>
      <c r="AN132" s="13">
        <f t="shared" si="90"/>
        <v>0</v>
      </c>
      <c r="AO132" s="13">
        <f t="shared" si="90"/>
        <v>0</v>
      </c>
      <c r="AP132" s="13">
        <f t="shared" si="90"/>
        <v>0</v>
      </c>
      <c r="AQ132" s="13">
        <f t="shared" si="90"/>
        <v>0</v>
      </c>
    </row>
    <row r="133" spans="1:43" x14ac:dyDescent="0.2">
      <c r="A133" s="1" t="s">
        <v>72</v>
      </c>
      <c r="B133" s="10" t="s">
        <v>49</v>
      </c>
      <c r="C133">
        <v>27504</v>
      </c>
      <c r="D133">
        <v>35000</v>
      </c>
      <c r="E133" s="2" t="s">
        <v>13</v>
      </c>
      <c r="F133" s="27">
        <v>37986</v>
      </c>
      <c r="G133" s="11">
        <v>38717</v>
      </c>
      <c r="H133" s="12">
        <v>0</v>
      </c>
      <c r="I133" s="12">
        <v>0</v>
      </c>
      <c r="J133" s="12">
        <v>0</v>
      </c>
      <c r="K133" s="12">
        <v>0</v>
      </c>
      <c r="L133" s="12">
        <v>366</v>
      </c>
      <c r="M133" s="14">
        <v>365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f>+G133-F133</f>
        <v>731</v>
      </c>
      <c r="T133" s="12">
        <f>SUM(H133:R133)</f>
        <v>731</v>
      </c>
      <c r="U133" s="12">
        <f t="shared" si="86"/>
        <v>0</v>
      </c>
      <c r="V133" s="12">
        <f t="shared" si="87"/>
        <v>0</v>
      </c>
      <c r="W133" s="12">
        <f t="shared" si="79"/>
        <v>0</v>
      </c>
      <c r="X133" s="12">
        <f t="shared" si="80"/>
        <v>0</v>
      </c>
      <c r="Y133" s="12">
        <f t="shared" si="88"/>
        <v>12810000</v>
      </c>
      <c r="Z133" s="12">
        <f t="shared" si="89"/>
        <v>12775000</v>
      </c>
      <c r="AA133" s="12">
        <f t="shared" si="81"/>
        <v>0</v>
      </c>
      <c r="AB133" s="12">
        <f t="shared" si="82"/>
        <v>0</v>
      </c>
      <c r="AC133" s="12">
        <f t="shared" si="83"/>
        <v>0</v>
      </c>
      <c r="AD133" s="12">
        <f t="shared" si="84"/>
        <v>0</v>
      </c>
      <c r="AE133" s="12">
        <f t="shared" si="85"/>
        <v>0</v>
      </c>
      <c r="AG133" s="13">
        <f>+U133*'CSF Rates'!C$12</f>
        <v>0</v>
      </c>
      <c r="AH133" s="13">
        <f>+V133*'CSF Rates'!D$12</f>
        <v>0</v>
      </c>
      <c r="AI133" s="13">
        <f>+W133*'CSF Rates'!E$12</f>
        <v>0</v>
      </c>
      <c r="AJ133" s="13">
        <f>+X133*'CSF Rates'!F$12</f>
        <v>0</v>
      </c>
      <c r="AK133" s="13">
        <f>+Y133*'CSF Rates'!G$12</f>
        <v>1437068.4999999998</v>
      </c>
      <c r="AL133" s="13">
        <f>+Z133*'CSF Rates'!H$12</f>
        <v>1462538</v>
      </c>
      <c r="AM133" s="13">
        <f>+AA133*'CSF Rates'!I$12</f>
        <v>0</v>
      </c>
      <c r="AN133" s="13">
        <f>+AB133*'CSF Rates'!J$12</f>
        <v>0</v>
      </c>
      <c r="AO133" s="13">
        <f>+AC133*'CSF Rates'!K$12</f>
        <v>0</v>
      </c>
      <c r="AP133" s="13">
        <f>+AD133*'CSF Rates'!L$12</f>
        <v>0</v>
      </c>
      <c r="AQ133" s="13">
        <f>+AE133*'CSF Rates'!M$12</f>
        <v>0</v>
      </c>
    </row>
    <row r="134" spans="1:43" x14ac:dyDescent="0.2">
      <c r="A134" s="1" t="s">
        <v>72</v>
      </c>
      <c r="B134" s="10" t="s">
        <v>23</v>
      </c>
      <c r="C134">
        <v>24670</v>
      </c>
      <c r="D134">
        <v>10000</v>
      </c>
      <c r="E134" s="2" t="s">
        <v>13</v>
      </c>
      <c r="F134" s="27">
        <v>35490</v>
      </c>
      <c r="G134" s="11">
        <v>39172</v>
      </c>
      <c r="H134" s="12">
        <v>366</v>
      </c>
      <c r="I134" s="12">
        <v>365</v>
      </c>
      <c r="J134" s="12">
        <v>365</v>
      </c>
      <c r="K134" s="12">
        <v>365</v>
      </c>
      <c r="L134" s="12">
        <v>366</v>
      </c>
      <c r="M134" s="12">
        <v>365</v>
      </c>
      <c r="N134" s="12">
        <v>365</v>
      </c>
      <c r="O134" s="12">
        <f>G134-"12/31/06"</f>
        <v>90</v>
      </c>
      <c r="P134" s="12">
        <v>0</v>
      </c>
      <c r="Q134" s="12">
        <v>0</v>
      </c>
      <c r="R134" s="12">
        <v>0</v>
      </c>
      <c r="S134" s="12"/>
      <c r="T134" s="17"/>
      <c r="U134" s="12">
        <f t="shared" si="86"/>
        <v>3660000</v>
      </c>
      <c r="V134" s="12">
        <f t="shared" si="87"/>
        <v>3650000</v>
      </c>
      <c r="W134" s="12">
        <f t="shared" si="79"/>
        <v>3650000</v>
      </c>
      <c r="X134" s="12">
        <f t="shared" si="80"/>
        <v>3650000</v>
      </c>
      <c r="Y134" s="12">
        <f t="shared" si="88"/>
        <v>3660000</v>
      </c>
      <c r="Z134" s="12">
        <f t="shared" si="89"/>
        <v>3650000</v>
      </c>
      <c r="AA134" s="12">
        <f t="shared" si="81"/>
        <v>3650000</v>
      </c>
      <c r="AB134" s="12">
        <f t="shared" si="82"/>
        <v>900000</v>
      </c>
      <c r="AC134" s="12">
        <f t="shared" si="83"/>
        <v>0</v>
      </c>
      <c r="AD134" s="12">
        <f t="shared" si="84"/>
        <v>0</v>
      </c>
      <c r="AE134" s="12">
        <f t="shared" si="85"/>
        <v>0</v>
      </c>
      <c r="AG134" s="13" t="e">
        <f>+U134*'CSF Rates'!#REF!</f>
        <v>#REF!</v>
      </c>
      <c r="AH134" s="13" t="e">
        <f>+V134*'CSF Rates'!#REF!</f>
        <v>#REF!</v>
      </c>
      <c r="AI134" s="13" t="e">
        <f>+W134*'CSF Rates'!#REF!</f>
        <v>#REF!</v>
      </c>
      <c r="AJ134" s="13" t="e">
        <f>+X134*'CSF Rates'!#REF!</f>
        <v>#REF!</v>
      </c>
      <c r="AK134" s="13" t="e">
        <f>+Y134*'CSF Rates'!#REF!</f>
        <v>#REF!</v>
      </c>
      <c r="AL134" s="13" t="e">
        <f>+Z134*'CSF Rates'!#REF!</f>
        <v>#REF!</v>
      </c>
      <c r="AM134" s="13" t="e">
        <f>+AA134*'CSF Rates'!#REF!</f>
        <v>#REF!</v>
      </c>
      <c r="AN134" s="13" t="e">
        <f>+AB134*'CSF Rates'!#REF!</f>
        <v>#REF!</v>
      </c>
      <c r="AO134" s="13" t="e">
        <f>+AC134*'CSF Rates'!#REF!</f>
        <v>#REF!</v>
      </c>
      <c r="AP134" s="13" t="e">
        <f>+AD134*'CSF Rates'!#REF!</f>
        <v>#REF!</v>
      </c>
      <c r="AQ134" s="13" t="e">
        <f>+AE134*'CSF Rates'!#REF!</f>
        <v>#REF!</v>
      </c>
    </row>
    <row r="135" spans="1:43" x14ac:dyDescent="0.2">
      <c r="A135" s="1" t="s">
        <v>72</v>
      </c>
      <c r="B135" s="10" t="s">
        <v>33</v>
      </c>
      <c r="C135">
        <v>8255</v>
      </c>
      <c r="D135">
        <v>306000</v>
      </c>
      <c r="E135" s="2" t="s">
        <v>13</v>
      </c>
      <c r="F135" s="27">
        <v>32782</v>
      </c>
      <c r="G135" s="11">
        <v>38656</v>
      </c>
      <c r="H135" s="12">
        <v>366</v>
      </c>
      <c r="I135" s="12">
        <v>365</v>
      </c>
      <c r="J135" s="12">
        <v>365</v>
      </c>
      <c r="K135" s="12">
        <v>365</v>
      </c>
      <c r="L135" s="12">
        <v>366</v>
      </c>
      <c r="M135" s="12">
        <f>G135-"12/31/04"</f>
        <v>304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/>
      <c r="T135" s="17"/>
      <c r="U135" s="12">
        <f t="shared" si="86"/>
        <v>111996000</v>
      </c>
      <c r="V135" s="12">
        <f t="shared" si="87"/>
        <v>111690000</v>
      </c>
      <c r="W135" s="12">
        <f t="shared" si="79"/>
        <v>111690000</v>
      </c>
      <c r="X135" s="12">
        <f t="shared" si="80"/>
        <v>111690000</v>
      </c>
      <c r="Y135" s="12">
        <f t="shared" si="88"/>
        <v>111996000</v>
      </c>
      <c r="Z135" s="12">
        <f t="shared" si="89"/>
        <v>93024000</v>
      </c>
      <c r="AA135" s="12">
        <f t="shared" si="81"/>
        <v>0</v>
      </c>
      <c r="AB135" s="12">
        <f t="shared" si="82"/>
        <v>0</v>
      </c>
      <c r="AC135" s="12">
        <f t="shared" si="83"/>
        <v>0</v>
      </c>
      <c r="AD135" s="12">
        <f t="shared" si="84"/>
        <v>0</v>
      </c>
      <c r="AE135" s="12">
        <f t="shared" si="85"/>
        <v>0</v>
      </c>
      <c r="AG135" s="13">
        <f>+U135*'CSF Rates'!C16</f>
        <v>0</v>
      </c>
      <c r="AH135" s="13">
        <f>+V135*'CSF Rates'!D16</f>
        <v>0</v>
      </c>
      <c r="AI135" s="13">
        <f>+W135*'CSF Rates'!E16</f>
        <v>0</v>
      </c>
      <c r="AJ135" s="13">
        <f>+X135*'CSF Rates'!F16</f>
        <v>0</v>
      </c>
      <c r="AK135" s="13">
        <f>+Y135*'CSF Rates'!G16</f>
        <v>0</v>
      </c>
      <c r="AL135" s="13">
        <f>+Z135*'CSF Rates'!H16</f>
        <v>0</v>
      </c>
      <c r="AM135" s="13">
        <f>+AA135*'CSF Rates'!I16</f>
        <v>0</v>
      </c>
      <c r="AN135" s="13">
        <f>+AB135*'CSF Rates'!J16</f>
        <v>0</v>
      </c>
      <c r="AO135" s="13">
        <f>+AC135*'CSF Rates'!K16</f>
        <v>0</v>
      </c>
      <c r="AP135" s="13">
        <f>+AD135*'CSF Rates'!L16</f>
        <v>0</v>
      </c>
      <c r="AQ135" s="13">
        <f>+AE135*'CSF Rates'!M16</f>
        <v>0</v>
      </c>
    </row>
    <row r="136" spans="1:43" x14ac:dyDescent="0.2">
      <c r="A136" s="1" t="s">
        <v>72</v>
      </c>
      <c r="B136" s="10" t="s">
        <v>48</v>
      </c>
      <c r="C136">
        <v>26719</v>
      </c>
      <c r="D136">
        <v>25000</v>
      </c>
      <c r="E136" s="2" t="s">
        <v>13</v>
      </c>
      <c r="F136" s="27">
        <v>36646</v>
      </c>
      <c r="G136" s="11">
        <v>38472</v>
      </c>
      <c r="H136" s="14">
        <f>"1/1/2001"-"5/1/2000"</f>
        <v>245</v>
      </c>
      <c r="I136" s="12">
        <v>365</v>
      </c>
      <c r="J136" s="12">
        <v>365</v>
      </c>
      <c r="K136" s="12">
        <v>365</v>
      </c>
      <c r="L136" s="12">
        <v>366</v>
      </c>
      <c r="M136" s="14">
        <f>G136-"12/31/2004"</f>
        <v>120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f>+G136-F136</f>
        <v>1826</v>
      </c>
      <c r="T136" s="12">
        <f>SUM(H136:R136)</f>
        <v>1826</v>
      </c>
      <c r="U136" s="12">
        <f t="shared" si="86"/>
        <v>6125000</v>
      </c>
      <c r="V136" s="12">
        <f t="shared" si="87"/>
        <v>9125000</v>
      </c>
      <c r="W136" s="12">
        <f t="shared" si="79"/>
        <v>9125000</v>
      </c>
      <c r="X136" s="12">
        <f t="shared" si="80"/>
        <v>9125000</v>
      </c>
      <c r="Y136" s="12">
        <f t="shared" si="88"/>
        <v>9150000</v>
      </c>
      <c r="Z136" s="12">
        <f t="shared" si="89"/>
        <v>3000000</v>
      </c>
      <c r="AA136" s="12">
        <f t="shared" si="81"/>
        <v>0</v>
      </c>
      <c r="AB136" s="12">
        <f t="shared" si="82"/>
        <v>0</v>
      </c>
      <c r="AC136" s="12">
        <f t="shared" si="83"/>
        <v>0</v>
      </c>
      <c r="AD136" s="12">
        <f t="shared" si="84"/>
        <v>0</v>
      </c>
      <c r="AE136" s="12">
        <f t="shared" si="85"/>
        <v>0</v>
      </c>
      <c r="AG136" s="13">
        <f>+U136*'CSF Rates'!C$12</f>
        <v>633631.24999999988</v>
      </c>
      <c r="AH136" s="13">
        <f>+V136*'CSF Rates'!D$12</f>
        <v>963305.00000000012</v>
      </c>
      <c r="AI136" s="13">
        <f>+W136*'CSF Rates'!E$12</f>
        <v>983380</v>
      </c>
      <c r="AJ136" s="13">
        <f>+X136*'CSF Rates'!F$12</f>
        <v>1003455.0000000001</v>
      </c>
      <c r="AK136" s="13">
        <f>+Y136*'CSF Rates'!G$12</f>
        <v>1026477.4999999999</v>
      </c>
      <c r="AL136" s="13">
        <f>+Z136*'CSF Rates'!H$12</f>
        <v>343453.15068493149</v>
      </c>
      <c r="AM136" s="13">
        <f>+AA136*'CSF Rates'!I$12</f>
        <v>0</v>
      </c>
      <c r="AN136" s="13">
        <f>+AB136*'CSF Rates'!J$12</f>
        <v>0</v>
      </c>
      <c r="AO136" s="13">
        <f>+AC136*'CSF Rates'!K$12</f>
        <v>0</v>
      </c>
      <c r="AP136" s="13">
        <f>+AD136*'CSF Rates'!L$12</f>
        <v>0</v>
      </c>
      <c r="AQ136" s="13">
        <f>+AE136*'CSF Rates'!M$12</f>
        <v>0</v>
      </c>
    </row>
    <row r="137" spans="1:43" x14ac:dyDescent="0.2">
      <c r="A137" s="1" t="s">
        <v>72</v>
      </c>
      <c r="B137" s="10" t="s">
        <v>68</v>
      </c>
      <c r="C137" s="31">
        <v>27252</v>
      </c>
      <c r="D137">
        <v>14000</v>
      </c>
      <c r="E137" s="2"/>
      <c r="F137" s="27">
        <v>36831</v>
      </c>
      <c r="G137" s="11">
        <v>40482</v>
      </c>
      <c r="H137" s="36">
        <f>"1/01/01"-F137</f>
        <v>61</v>
      </c>
      <c r="I137" s="35">
        <v>151</v>
      </c>
      <c r="J137" s="35">
        <v>151</v>
      </c>
      <c r="K137" s="35">
        <v>151</v>
      </c>
      <c r="L137" s="35">
        <v>152</v>
      </c>
      <c r="M137" s="35">
        <v>151</v>
      </c>
      <c r="N137" s="35">
        <v>151</v>
      </c>
      <c r="O137" s="35">
        <v>151</v>
      </c>
      <c r="P137" s="35">
        <v>152</v>
      </c>
      <c r="Q137" s="35">
        <v>151</v>
      </c>
      <c r="R137" s="35">
        <v>151</v>
      </c>
      <c r="S137" s="12"/>
      <c r="T137" s="17"/>
      <c r="U137" s="12">
        <f t="shared" si="86"/>
        <v>854000</v>
      </c>
      <c r="V137" s="12">
        <f t="shared" si="87"/>
        <v>2114000</v>
      </c>
      <c r="W137" s="12">
        <f t="shared" si="79"/>
        <v>2114000</v>
      </c>
      <c r="X137" s="12">
        <f t="shared" si="80"/>
        <v>2114000</v>
      </c>
      <c r="Y137" s="12">
        <f t="shared" si="88"/>
        <v>2128000</v>
      </c>
      <c r="Z137" s="12">
        <f t="shared" si="89"/>
        <v>2114000</v>
      </c>
      <c r="AA137" s="12">
        <f t="shared" si="81"/>
        <v>2114000</v>
      </c>
      <c r="AB137" s="12">
        <f t="shared" si="82"/>
        <v>2114000</v>
      </c>
      <c r="AC137" s="12">
        <f t="shared" si="83"/>
        <v>2128000</v>
      </c>
      <c r="AD137" s="12">
        <f t="shared" si="84"/>
        <v>2114000</v>
      </c>
      <c r="AE137" s="12">
        <f t="shared" si="85"/>
        <v>2114000</v>
      </c>
      <c r="AG137" s="13">
        <f t="shared" ref="AG137:AQ137" si="91">+U137*$E137</f>
        <v>0</v>
      </c>
      <c r="AH137" s="13">
        <f t="shared" si="91"/>
        <v>0</v>
      </c>
      <c r="AI137" s="13">
        <f t="shared" si="91"/>
        <v>0</v>
      </c>
      <c r="AJ137" s="13">
        <f t="shared" si="91"/>
        <v>0</v>
      </c>
      <c r="AK137" s="13">
        <f t="shared" si="91"/>
        <v>0</v>
      </c>
      <c r="AL137" s="13">
        <f t="shared" si="91"/>
        <v>0</v>
      </c>
      <c r="AM137" s="13">
        <f t="shared" si="91"/>
        <v>0</v>
      </c>
      <c r="AN137" s="13">
        <f t="shared" si="91"/>
        <v>0</v>
      </c>
      <c r="AO137" s="13">
        <f t="shared" si="91"/>
        <v>0</v>
      </c>
      <c r="AP137" s="13">
        <f t="shared" si="91"/>
        <v>0</v>
      </c>
      <c r="AQ137" s="13">
        <f t="shared" si="91"/>
        <v>0</v>
      </c>
    </row>
    <row r="138" spans="1:43" x14ac:dyDescent="0.2">
      <c r="A138" s="1" t="s">
        <v>72</v>
      </c>
      <c r="B138" s="10" t="s">
        <v>55</v>
      </c>
      <c r="C138">
        <v>26960</v>
      </c>
      <c r="D138">
        <v>20000</v>
      </c>
      <c r="E138" s="2" t="s">
        <v>13</v>
      </c>
      <c r="F138" s="27">
        <v>36525</v>
      </c>
      <c r="G138" s="11">
        <v>38077</v>
      </c>
      <c r="H138" s="12">
        <v>366</v>
      </c>
      <c r="I138" s="12">
        <v>365</v>
      </c>
      <c r="J138" s="12">
        <v>365</v>
      </c>
      <c r="K138" s="12">
        <v>365</v>
      </c>
      <c r="L138" s="12">
        <f>+G138-"12/31/03"</f>
        <v>91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2">
        <f>+G138-F138</f>
        <v>1552</v>
      </c>
      <c r="T138" s="12">
        <f>SUM(H138:R138)</f>
        <v>1552</v>
      </c>
      <c r="U138" s="12">
        <f t="shared" si="86"/>
        <v>7320000</v>
      </c>
      <c r="V138" s="12">
        <f t="shared" si="87"/>
        <v>7300000</v>
      </c>
      <c r="W138" s="12">
        <f t="shared" si="79"/>
        <v>7300000</v>
      </c>
      <c r="X138" s="12">
        <f t="shared" si="80"/>
        <v>7300000</v>
      </c>
      <c r="Y138" s="12">
        <f t="shared" si="88"/>
        <v>1820000</v>
      </c>
      <c r="Z138" s="12">
        <f t="shared" si="89"/>
        <v>0</v>
      </c>
      <c r="AA138" s="12">
        <f t="shared" si="81"/>
        <v>0</v>
      </c>
      <c r="AB138" s="12">
        <f t="shared" si="82"/>
        <v>0</v>
      </c>
      <c r="AC138" s="12">
        <f t="shared" si="83"/>
        <v>0</v>
      </c>
      <c r="AD138" s="12">
        <f t="shared" si="84"/>
        <v>0</v>
      </c>
      <c r="AE138" s="12">
        <f t="shared" si="85"/>
        <v>0</v>
      </c>
      <c r="AG138" s="13">
        <f>+U138*'CSF Rates'!C$12</f>
        <v>757253.99999999988</v>
      </c>
      <c r="AH138" s="13">
        <f>+V138*'CSF Rates'!D$12</f>
        <v>770644</v>
      </c>
      <c r="AI138" s="13">
        <f>+W138*'CSF Rates'!E$12</f>
        <v>786704</v>
      </c>
      <c r="AJ138" s="13">
        <f>+X138*'CSF Rates'!F$12</f>
        <v>802764.00000000012</v>
      </c>
      <c r="AK138" s="13">
        <f>+Y138*'CSF Rates'!G$12</f>
        <v>204173.66666666663</v>
      </c>
      <c r="AL138" s="13">
        <f>+Z138*'CSF Rates'!H$12</f>
        <v>0</v>
      </c>
      <c r="AM138" s="13">
        <f>+AA138*'CSF Rates'!I$12</f>
        <v>0</v>
      </c>
      <c r="AN138" s="13">
        <f>+AB138*'CSF Rates'!J$12</f>
        <v>0</v>
      </c>
      <c r="AO138" s="13">
        <f>+AC138*'CSF Rates'!K$12</f>
        <v>0</v>
      </c>
      <c r="AP138" s="13">
        <f>+AD138*'CSF Rates'!L$12</f>
        <v>0</v>
      </c>
      <c r="AQ138" s="13">
        <f>+AE138*'CSF Rates'!M$12</f>
        <v>0</v>
      </c>
    </row>
    <row r="139" spans="1:43" x14ac:dyDescent="0.2">
      <c r="A139" s="1" t="s">
        <v>72</v>
      </c>
      <c r="B139" s="10" t="s">
        <v>28</v>
      </c>
      <c r="C139">
        <v>25850</v>
      </c>
      <c r="D139">
        <v>30000</v>
      </c>
      <c r="E139" s="2">
        <v>0.13539999999999999</v>
      </c>
      <c r="F139" s="27"/>
      <c r="G139" s="11">
        <v>36556</v>
      </c>
      <c r="H139" s="35">
        <f>G139-"12/31/99"</f>
        <v>31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12"/>
      <c r="T139" s="17"/>
      <c r="U139" s="12">
        <f t="shared" si="86"/>
        <v>930000</v>
      </c>
      <c r="V139" s="12">
        <f t="shared" si="87"/>
        <v>0</v>
      </c>
      <c r="W139" s="12">
        <f t="shared" si="79"/>
        <v>0</v>
      </c>
      <c r="X139" s="12">
        <f t="shared" si="80"/>
        <v>0</v>
      </c>
      <c r="Y139" s="12">
        <f t="shared" si="88"/>
        <v>0</v>
      </c>
      <c r="Z139" s="12">
        <f t="shared" si="89"/>
        <v>0</v>
      </c>
      <c r="AA139" s="12">
        <f t="shared" si="81"/>
        <v>0</v>
      </c>
      <c r="AB139" s="12">
        <f t="shared" si="82"/>
        <v>0</v>
      </c>
      <c r="AC139" s="12">
        <f t="shared" si="83"/>
        <v>0</v>
      </c>
      <c r="AD139" s="12">
        <f t="shared" si="84"/>
        <v>0</v>
      </c>
      <c r="AE139" s="12">
        <f t="shared" si="85"/>
        <v>0</v>
      </c>
      <c r="AG139" s="13">
        <f t="shared" ref="AG139:AQ140" si="92">+U139*$E139</f>
        <v>125922</v>
      </c>
      <c r="AH139" s="13">
        <f t="shared" si="92"/>
        <v>0</v>
      </c>
      <c r="AI139" s="13">
        <f t="shared" si="92"/>
        <v>0</v>
      </c>
      <c r="AJ139" s="13">
        <f t="shared" si="92"/>
        <v>0</v>
      </c>
      <c r="AK139" s="13">
        <f t="shared" si="92"/>
        <v>0</v>
      </c>
      <c r="AL139" s="13">
        <f t="shared" si="92"/>
        <v>0</v>
      </c>
      <c r="AM139" s="13">
        <f t="shared" si="92"/>
        <v>0</v>
      </c>
      <c r="AN139" s="13">
        <f t="shared" si="92"/>
        <v>0</v>
      </c>
      <c r="AO139" s="13">
        <f t="shared" si="92"/>
        <v>0</v>
      </c>
      <c r="AP139" s="13">
        <f t="shared" si="92"/>
        <v>0</v>
      </c>
      <c r="AQ139" s="13">
        <f t="shared" si="92"/>
        <v>0</v>
      </c>
    </row>
    <row r="140" spans="1:43" x14ac:dyDescent="0.2">
      <c r="A140" s="1" t="s">
        <v>72</v>
      </c>
      <c r="B140" s="10" t="s">
        <v>30</v>
      </c>
      <c r="C140">
        <v>26393</v>
      </c>
      <c r="D140">
        <v>30000</v>
      </c>
      <c r="E140" s="2">
        <v>0.113</v>
      </c>
      <c r="F140" s="27"/>
      <c r="G140" s="11">
        <v>36616</v>
      </c>
      <c r="H140" s="35">
        <f>G140-"12/31/99"</f>
        <v>91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12"/>
      <c r="T140" s="17"/>
      <c r="U140" s="12">
        <f t="shared" si="86"/>
        <v>2730000</v>
      </c>
      <c r="V140" s="12">
        <f t="shared" si="87"/>
        <v>0</v>
      </c>
      <c r="W140" s="12">
        <f t="shared" si="79"/>
        <v>0</v>
      </c>
      <c r="X140" s="12">
        <f t="shared" si="80"/>
        <v>0</v>
      </c>
      <c r="Y140" s="12">
        <f t="shared" si="88"/>
        <v>0</v>
      </c>
      <c r="Z140" s="12">
        <f t="shared" si="89"/>
        <v>0</v>
      </c>
      <c r="AA140" s="12">
        <f t="shared" si="81"/>
        <v>0</v>
      </c>
      <c r="AB140" s="12">
        <f t="shared" si="82"/>
        <v>0</v>
      </c>
      <c r="AC140" s="12">
        <f t="shared" si="83"/>
        <v>0</v>
      </c>
      <c r="AD140" s="12">
        <f t="shared" si="84"/>
        <v>0</v>
      </c>
      <c r="AE140" s="12">
        <f t="shared" si="85"/>
        <v>0</v>
      </c>
      <c r="AG140" s="13">
        <f t="shared" si="92"/>
        <v>308490</v>
      </c>
      <c r="AH140" s="13">
        <f t="shared" si="92"/>
        <v>0</v>
      </c>
      <c r="AI140" s="13">
        <f t="shared" si="92"/>
        <v>0</v>
      </c>
      <c r="AJ140" s="13">
        <f t="shared" si="92"/>
        <v>0</v>
      </c>
      <c r="AK140" s="13">
        <f t="shared" si="92"/>
        <v>0</v>
      </c>
      <c r="AL140" s="13">
        <f t="shared" si="92"/>
        <v>0</v>
      </c>
      <c r="AM140" s="13">
        <f t="shared" si="92"/>
        <v>0</v>
      </c>
      <c r="AN140" s="13">
        <f t="shared" si="92"/>
        <v>0</v>
      </c>
      <c r="AO140" s="13">
        <f t="shared" si="92"/>
        <v>0</v>
      </c>
      <c r="AP140" s="13">
        <f t="shared" si="92"/>
        <v>0</v>
      </c>
      <c r="AQ140" s="13">
        <f t="shared" si="92"/>
        <v>0</v>
      </c>
    </row>
    <row r="141" spans="1:43" x14ac:dyDescent="0.2">
      <c r="B141" s="10" t="s">
        <v>60</v>
      </c>
      <c r="E141" s="2"/>
      <c r="F141" s="2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>
        <f t="shared" ref="U141:AE141" si="93">+U140/H$1</f>
        <v>7459.0163934426228</v>
      </c>
      <c r="V141" s="12">
        <f t="shared" si="93"/>
        <v>0</v>
      </c>
      <c r="W141" s="12">
        <f t="shared" si="93"/>
        <v>0</v>
      </c>
      <c r="X141" s="12">
        <f t="shared" si="93"/>
        <v>0</v>
      </c>
      <c r="Y141" s="12">
        <f t="shared" si="93"/>
        <v>0</v>
      </c>
      <c r="Z141" s="12">
        <f t="shared" si="93"/>
        <v>0</v>
      </c>
      <c r="AA141" s="12">
        <f t="shared" si="93"/>
        <v>0</v>
      </c>
      <c r="AB141" s="12">
        <f t="shared" si="93"/>
        <v>0</v>
      </c>
      <c r="AC141" s="12">
        <f t="shared" si="93"/>
        <v>0</v>
      </c>
      <c r="AD141" s="12">
        <f t="shared" si="93"/>
        <v>0</v>
      </c>
      <c r="AE141" s="12">
        <f t="shared" si="93"/>
        <v>0</v>
      </c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x14ac:dyDescent="0.2">
      <c r="B142" s="10" t="s">
        <v>60</v>
      </c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7"/>
      <c r="U142" s="34">
        <f>+U141/H77</f>
        <v>20.379826211591865</v>
      </c>
      <c r="V142" s="34">
        <f t="shared" ref="V142:AE142" si="94">+V141/I77</f>
        <v>0</v>
      </c>
      <c r="W142" s="34">
        <f t="shared" si="94"/>
        <v>0</v>
      </c>
      <c r="X142" s="34">
        <f t="shared" si="94"/>
        <v>0</v>
      </c>
      <c r="Y142" s="34" t="e">
        <f t="shared" si="94"/>
        <v>#DIV/0!</v>
      </c>
      <c r="Z142" s="34" t="e">
        <f t="shared" si="94"/>
        <v>#DIV/0!</v>
      </c>
      <c r="AA142" s="34" t="e">
        <f t="shared" si="94"/>
        <v>#DIV/0!</v>
      </c>
      <c r="AB142" s="34" t="e">
        <f t="shared" si="94"/>
        <v>#DIV/0!</v>
      </c>
      <c r="AC142" s="34" t="e">
        <f t="shared" si="94"/>
        <v>#DIV/0!</v>
      </c>
      <c r="AD142" s="34" t="e">
        <f t="shared" si="94"/>
        <v>#DIV/0!</v>
      </c>
      <c r="AE142" s="34" t="e">
        <f t="shared" si="94"/>
        <v>#DIV/0!</v>
      </c>
    </row>
    <row r="143" spans="1:43" x14ac:dyDescent="0.2">
      <c r="B143" s="1" t="s">
        <v>93</v>
      </c>
      <c r="G143" s="15"/>
      <c r="AL143" s="20"/>
      <c r="AM143" s="20"/>
      <c r="AN143" s="20"/>
      <c r="AO143" s="20"/>
      <c r="AP143" s="20"/>
      <c r="AQ143" s="20"/>
    </row>
    <row r="144" spans="1:43" x14ac:dyDescent="0.2">
      <c r="B144" s="1" t="s">
        <v>71</v>
      </c>
      <c r="G144" s="15"/>
    </row>
    <row r="145" spans="2:43" x14ac:dyDescent="0.2">
      <c r="B145" s="1" t="s">
        <v>95</v>
      </c>
      <c r="G145" s="15"/>
      <c r="AL145" s="20"/>
      <c r="AM145" s="20"/>
      <c r="AN145" s="20"/>
      <c r="AO145" s="20"/>
      <c r="AP145" s="20"/>
      <c r="AQ145" s="20"/>
    </row>
    <row r="146" spans="2:43" x14ac:dyDescent="0.2">
      <c r="B146" s="10" t="s">
        <v>79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7"/>
      <c r="U146" s="34" t="e">
        <f>+#REF!/H30</f>
        <v>#REF!</v>
      </c>
      <c r="V146" s="34" t="e">
        <f>+#REF!/I30</f>
        <v>#REF!</v>
      </c>
      <c r="W146" s="34" t="e">
        <f>+#REF!/J30</f>
        <v>#REF!</v>
      </c>
      <c r="X146" s="34" t="e">
        <f>+#REF!/K30</f>
        <v>#REF!</v>
      </c>
      <c r="Y146" s="34" t="e">
        <f>+#REF!/L30</f>
        <v>#REF!</v>
      </c>
      <c r="Z146" s="34" t="e">
        <f>+#REF!/M30</f>
        <v>#REF!</v>
      </c>
      <c r="AA146" s="34" t="e">
        <f>+#REF!/N30</f>
        <v>#REF!</v>
      </c>
      <c r="AB146" s="34" t="e">
        <f>+#REF!/O30</f>
        <v>#REF!</v>
      </c>
      <c r="AC146" s="34" t="e">
        <f>+#REF!/P30</f>
        <v>#REF!</v>
      </c>
      <c r="AD146" s="34" t="e">
        <f>+#REF!/Q30</f>
        <v>#REF!</v>
      </c>
      <c r="AE146" s="34" t="e">
        <f>+#REF!/R30</f>
        <v>#REF!</v>
      </c>
    </row>
    <row r="147" spans="2:43" x14ac:dyDescent="0.2">
      <c r="B147" s="10" t="s">
        <v>79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7"/>
      <c r="U147" s="34" t="e">
        <f t="shared" ref="U147:AE147" si="95">+U146/H31</f>
        <v>#REF!</v>
      </c>
      <c r="V147" s="34" t="e">
        <f t="shared" si="95"/>
        <v>#REF!</v>
      </c>
      <c r="W147" s="34" t="e">
        <f t="shared" si="95"/>
        <v>#REF!</v>
      </c>
      <c r="X147" s="34" t="e">
        <f t="shared" si="95"/>
        <v>#REF!</v>
      </c>
      <c r="Y147" s="34" t="e">
        <f t="shared" si="95"/>
        <v>#REF!</v>
      </c>
      <c r="Z147" s="34" t="e">
        <f t="shared" si="95"/>
        <v>#REF!</v>
      </c>
      <c r="AA147" s="34" t="e">
        <f t="shared" si="95"/>
        <v>#REF!</v>
      </c>
      <c r="AB147" s="34" t="e">
        <f t="shared" si="95"/>
        <v>#REF!</v>
      </c>
      <c r="AC147" s="34" t="e">
        <f t="shared" si="95"/>
        <v>#REF!</v>
      </c>
      <c r="AD147" s="34" t="e">
        <f t="shared" si="95"/>
        <v>#REF!</v>
      </c>
      <c r="AE147" s="34" t="e">
        <f t="shared" si="95"/>
        <v>#REF!</v>
      </c>
    </row>
    <row r="148" spans="2:43" x14ac:dyDescent="0.2">
      <c r="B148" s="10" t="s">
        <v>79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7"/>
      <c r="U148" s="34" t="e">
        <f>+U147/#REF!</f>
        <v>#REF!</v>
      </c>
      <c r="V148" s="34" t="e">
        <f>+V147/#REF!</f>
        <v>#REF!</v>
      </c>
      <c r="W148" s="34" t="e">
        <f>+W147/#REF!</f>
        <v>#REF!</v>
      </c>
      <c r="X148" s="34" t="e">
        <f>+X147/#REF!</f>
        <v>#REF!</v>
      </c>
      <c r="Y148" s="34" t="e">
        <f>+Y147/#REF!</f>
        <v>#REF!</v>
      </c>
      <c r="Z148" s="34" t="e">
        <f>+Z147/#REF!</f>
        <v>#REF!</v>
      </c>
      <c r="AA148" s="34" t="e">
        <f>+AA147/#REF!</f>
        <v>#REF!</v>
      </c>
      <c r="AB148" s="34" t="e">
        <f>+AB147/#REF!</f>
        <v>#REF!</v>
      </c>
      <c r="AC148" s="34" t="e">
        <f>+AC147/#REF!</f>
        <v>#REF!</v>
      </c>
      <c r="AD148" s="34" t="e">
        <f>+AD147/#REF!</f>
        <v>#REF!</v>
      </c>
      <c r="AE148" s="34" t="e">
        <f>+AE147/#REF!</f>
        <v>#REF!</v>
      </c>
    </row>
    <row r="149" spans="2:43" x14ac:dyDescent="0.2">
      <c r="B149" s="1" t="s">
        <v>72</v>
      </c>
      <c r="G149" s="15"/>
      <c r="AK149" t="s">
        <v>47</v>
      </c>
      <c r="AL149" s="20">
        <v>0.5</v>
      </c>
      <c r="AM149" s="20">
        <f>+AL149</f>
        <v>0.5</v>
      </c>
      <c r="AN149" s="20">
        <f>+AM149</f>
        <v>0.5</v>
      </c>
      <c r="AO149" s="20">
        <f>+AN149</f>
        <v>0.5</v>
      </c>
      <c r="AP149" s="20">
        <f>+AO149</f>
        <v>0.5</v>
      </c>
      <c r="AQ149" s="20">
        <f>+AP149</f>
        <v>0.5</v>
      </c>
    </row>
    <row r="150" spans="2:43" x14ac:dyDescent="0.2">
      <c r="B150" s="10" t="s">
        <v>24</v>
      </c>
      <c r="E150" s="2"/>
      <c r="F150" s="2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 t="e">
        <f>SUM(U120:U148)</f>
        <v>#REF!</v>
      </c>
      <c r="V150" s="12" t="e">
        <f t="shared" ref="V150:AE150" si="96">SUM(V120:V148)</f>
        <v>#REF!</v>
      </c>
      <c r="W150" s="12" t="e">
        <f t="shared" si="96"/>
        <v>#REF!</v>
      </c>
      <c r="X150" s="12" t="e">
        <f t="shared" si="96"/>
        <v>#REF!</v>
      </c>
      <c r="Y150" s="12" t="e">
        <f t="shared" si="96"/>
        <v>#DIV/0!</v>
      </c>
      <c r="Z150" s="12" t="e">
        <f t="shared" si="96"/>
        <v>#DIV/0!</v>
      </c>
      <c r="AA150" s="12" t="e">
        <f t="shared" si="96"/>
        <v>#DIV/0!</v>
      </c>
      <c r="AB150" s="12" t="e">
        <f t="shared" si="96"/>
        <v>#DIV/0!</v>
      </c>
      <c r="AC150" s="12" t="e">
        <f t="shared" si="96"/>
        <v>#DIV/0!</v>
      </c>
      <c r="AD150" s="12" t="e">
        <f t="shared" si="96"/>
        <v>#DIV/0!</v>
      </c>
      <c r="AE150" s="12" t="e">
        <f t="shared" si="96"/>
        <v>#DIV/0!</v>
      </c>
      <c r="AG150" s="12" t="e">
        <f>SUM(AG120:AG148)</f>
        <v>#REF!</v>
      </c>
      <c r="AH150" s="12" t="e">
        <f t="shared" ref="AH150:AQ150" si="97">SUM(AH120:AH148)</f>
        <v>#REF!</v>
      </c>
      <c r="AI150" s="12" t="e">
        <f t="shared" si="97"/>
        <v>#REF!</v>
      </c>
      <c r="AJ150" s="12" t="e">
        <f t="shared" si="97"/>
        <v>#REF!</v>
      </c>
      <c r="AK150" s="12" t="e">
        <f t="shared" si="97"/>
        <v>#REF!</v>
      </c>
      <c r="AL150" s="12" t="e">
        <f t="shared" si="97"/>
        <v>#REF!</v>
      </c>
      <c r="AM150" s="12" t="e">
        <f t="shared" si="97"/>
        <v>#REF!</v>
      </c>
      <c r="AN150" s="12" t="e">
        <f t="shared" si="97"/>
        <v>#REF!</v>
      </c>
      <c r="AO150" s="12" t="e">
        <f t="shared" si="97"/>
        <v>#REF!</v>
      </c>
      <c r="AP150" s="12" t="e">
        <f t="shared" si="97"/>
        <v>#REF!</v>
      </c>
      <c r="AQ150" s="12" t="e">
        <f t="shared" si="97"/>
        <v>#REF!</v>
      </c>
    </row>
    <row r="151" spans="2:43" x14ac:dyDescent="0.2">
      <c r="B151" s="10" t="s">
        <v>24</v>
      </c>
      <c r="E151" s="2"/>
      <c r="F151" s="2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7"/>
      <c r="U151" s="12" t="e">
        <f t="shared" ref="U151:AE151" si="98">SUM(U136:U149)</f>
        <v>#REF!</v>
      </c>
      <c r="V151" s="12" t="e">
        <f t="shared" si="98"/>
        <v>#REF!</v>
      </c>
      <c r="W151" s="12" t="e">
        <f t="shared" si="98"/>
        <v>#REF!</v>
      </c>
      <c r="X151" s="12" t="e">
        <f t="shared" si="98"/>
        <v>#REF!</v>
      </c>
      <c r="Y151" s="12" t="e">
        <f t="shared" si="98"/>
        <v>#DIV/0!</v>
      </c>
      <c r="Z151" s="12" t="e">
        <f t="shared" si="98"/>
        <v>#DIV/0!</v>
      </c>
      <c r="AA151" s="12" t="e">
        <f t="shared" si="98"/>
        <v>#DIV/0!</v>
      </c>
      <c r="AB151" s="12" t="e">
        <f t="shared" si="98"/>
        <v>#DIV/0!</v>
      </c>
      <c r="AC151" s="12" t="e">
        <f t="shared" si="98"/>
        <v>#DIV/0!</v>
      </c>
      <c r="AD151" s="12" t="e">
        <f t="shared" si="98"/>
        <v>#DIV/0!</v>
      </c>
      <c r="AE151" s="12" t="e">
        <f t="shared" si="98"/>
        <v>#DIV/0!</v>
      </c>
      <c r="AG151" s="13">
        <f t="shared" ref="AG151:AQ151" si="99">SUM(AG136:AG145)</f>
        <v>1825297.2499999998</v>
      </c>
      <c r="AH151" s="13">
        <f t="shared" si="99"/>
        <v>1733949</v>
      </c>
      <c r="AI151" s="13">
        <f t="shared" si="99"/>
        <v>1770084</v>
      </c>
      <c r="AJ151" s="13">
        <f t="shared" si="99"/>
        <v>1806219.0000000002</v>
      </c>
      <c r="AK151" s="13">
        <f t="shared" si="99"/>
        <v>1230651.1666666665</v>
      </c>
      <c r="AL151" s="13">
        <f t="shared" si="99"/>
        <v>343453.15068493149</v>
      </c>
      <c r="AM151" s="13">
        <f t="shared" si="99"/>
        <v>0</v>
      </c>
      <c r="AN151" s="13">
        <f t="shared" si="99"/>
        <v>0</v>
      </c>
      <c r="AO151" s="13">
        <f t="shared" si="99"/>
        <v>0</v>
      </c>
      <c r="AP151" s="13">
        <f t="shared" si="99"/>
        <v>0</v>
      </c>
      <c r="AQ151" s="13">
        <f t="shared" si="99"/>
        <v>0</v>
      </c>
    </row>
    <row r="152" spans="2:43" ht="13.5" thickBot="1" x14ac:dyDescent="0.25">
      <c r="B152" s="82" t="s">
        <v>24</v>
      </c>
      <c r="C152" s="4"/>
      <c r="D152" s="4"/>
      <c r="E152" s="5"/>
      <c r="F152" s="5"/>
      <c r="G152" s="89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13"/>
      <c r="T152" s="17"/>
      <c r="U152" s="90" t="e">
        <f t="shared" ref="U152:AE152" si="100">SUM(U109:U151)</f>
        <v>#REF!</v>
      </c>
      <c r="V152" s="90" t="e">
        <f t="shared" si="100"/>
        <v>#REF!</v>
      </c>
      <c r="W152" s="90" t="e">
        <f t="shared" si="100"/>
        <v>#REF!</v>
      </c>
      <c r="X152" s="90" t="e">
        <f t="shared" si="100"/>
        <v>#REF!</v>
      </c>
      <c r="Y152" s="90" t="e">
        <f t="shared" si="100"/>
        <v>#DIV/0!</v>
      </c>
      <c r="Z152" s="90" t="e">
        <f t="shared" si="100"/>
        <v>#DIV/0!</v>
      </c>
      <c r="AA152" s="90" t="e">
        <f t="shared" si="100"/>
        <v>#DIV/0!</v>
      </c>
      <c r="AB152" s="90" t="e">
        <f t="shared" si="100"/>
        <v>#DIV/0!</v>
      </c>
      <c r="AC152" s="90" t="e">
        <f t="shared" si="100"/>
        <v>#DIV/0!</v>
      </c>
      <c r="AD152" s="90" t="e">
        <f t="shared" si="100"/>
        <v>#DIV/0!</v>
      </c>
      <c r="AE152" s="90" t="e">
        <f t="shared" si="100"/>
        <v>#DIV/0!</v>
      </c>
      <c r="AG152" s="92" t="e">
        <f t="shared" ref="AG152:AQ152" si="101">SUM(AG109:AG151)</f>
        <v>#REF!</v>
      </c>
      <c r="AH152" s="92" t="e">
        <f t="shared" si="101"/>
        <v>#REF!</v>
      </c>
      <c r="AI152" s="92" t="e">
        <f t="shared" si="101"/>
        <v>#REF!</v>
      </c>
      <c r="AJ152" s="92" t="e">
        <f t="shared" si="101"/>
        <v>#REF!</v>
      </c>
      <c r="AK152" s="92" t="e">
        <f t="shared" si="101"/>
        <v>#REF!</v>
      </c>
      <c r="AL152" s="92" t="e">
        <f t="shared" si="101"/>
        <v>#REF!</v>
      </c>
      <c r="AM152" s="92" t="e">
        <f t="shared" si="101"/>
        <v>#REF!</v>
      </c>
      <c r="AN152" s="92" t="e">
        <f t="shared" si="101"/>
        <v>#REF!</v>
      </c>
      <c r="AO152" s="92" t="e">
        <f t="shared" si="101"/>
        <v>#REF!</v>
      </c>
      <c r="AP152" s="92" t="e">
        <f t="shared" si="101"/>
        <v>#REF!</v>
      </c>
      <c r="AQ152" s="92" t="e">
        <f t="shared" si="101"/>
        <v>#REF!</v>
      </c>
    </row>
    <row r="153" spans="2:43" x14ac:dyDescent="0.2">
      <c r="B153" s="10" t="s">
        <v>24</v>
      </c>
      <c r="E153" s="2"/>
      <c r="F153" s="2"/>
      <c r="G153" s="1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7"/>
      <c r="U153" s="12" t="e">
        <f t="shared" ref="U153:AE153" si="102">SUM(U136:U152)</f>
        <v>#REF!</v>
      </c>
      <c r="V153" s="12" t="e">
        <f t="shared" si="102"/>
        <v>#REF!</v>
      </c>
      <c r="W153" s="12" t="e">
        <f t="shared" si="102"/>
        <v>#REF!</v>
      </c>
      <c r="X153" s="12" t="e">
        <f t="shared" si="102"/>
        <v>#REF!</v>
      </c>
      <c r="Y153" s="12" t="e">
        <f t="shared" si="102"/>
        <v>#DIV/0!</v>
      </c>
      <c r="Z153" s="12" t="e">
        <f t="shared" si="102"/>
        <v>#DIV/0!</v>
      </c>
      <c r="AA153" s="12" t="e">
        <f t="shared" si="102"/>
        <v>#DIV/0!</v>
      </c>
      <c r="AB153" s="12" t="e">
        <f t="shared" si="102"/>
        <v>#DIV/0!</v>
      </c>
      <c r="AC153" s="12" t="e">
        <f t="shared" si="102"/>
        <v>#DIV/0!</v>
      </c>
      <c r="AD153" s="12" t="e">
        <f t="shared" si="102"/>
        <v>#DIV/0!</v>
      </c>
      <c r="AE153" s="12" t="e">
        <f t="shared" si="102"/>
        <v>#DIV/0!</v>
      </c>
      <c r="AG153" s="12" t="e">
        <f t="shared" ref="AG153:AQ153" si="103">SUM(AG136:AG152)</f>
        <v>#REF!</v>
      </c>
      <c r="AH153" s="12" t="e">
        <f t="shared" si="103"/>
        <v>#REF!</v>
      </c>
      <c r="AI153" s="12" t="e">
        <f t="shared" si="103"/>
        <v>#REF!</v>
      </c>
      <c r="AJ153" s="12" t="e">
        <f t="shared" si="103"/>
        <v>#REF!</v>
      </c>
      <c r="AK153" s="12" t="e">
        <f t="shared" si="103"/>
        <v>#REF!</v>
      </c>
      <c r="AL153" s="12" t="e">
        <f t="shared" si="103"/>
        <v>#REF!</v>
      </c>
      <c r="AM153" s="12" t="e">
        <f t="shared" si="103"/>
        <v>#REF!</v>
      </c>
      <c r="AN153" s="12" t="e">
        <f t="shared" si="103"/>
        <v>#REF!</v>
      </c>
      <c r="AO153" s="12" t="e">
        <f t="shared" si="103"/>
        <v>#REF!</v>
      </c>
      <c r="AP153" s="12" t="e">
        <f t="shared" si="103"/>
        <v>#REF!</v>
      </c>
      <c r="AQ153" s="12" t="e">
        <f t="shared" si="103"/>
        <v>#REF!</v>
      </c>
    </row>
    <row r="154" spans="2:43" x14ac:dyDescent="0.2">
      <c r="B154" s="10" t="s">
        <v>24</v>
      </c>
      <c r="E154" s="2"/>
      <c r="F154" s="2"/>
      <c r="G154" s="1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7"/>
      <c r="U154" s="12" t="e">
        <f t="shared" ref="U154:AE154" si="104">SUM(U139:U153)</f>
        <v>#REF!</v>
      </c>
      <c r="V154" s="12" t="e">
        <f t="shared" si="104"/>
        <v>#REF!</v>
      </c>
      <c r="W154" s="12" t="e">
        <f t="shared" si="104"/>
        <v>#REF!</v>
      </c>
      <c r="X154" s="12" t="e">
        <f t="shared" si="104"/>
        <v>#REF!</v>
      </c>
      <c r="Y154" s="12" t="e">
        <f t="shared" si="104"/>
        <v>#DIV/0!</v>
      </c>
      <c r="Z154" s="12" t="e">
        <f t="shared" si="104"/>
        <v>#DIV/0!</v>
      </c>
      <c r="AA154" s="12" t="e">
        <f t="shared" si="104"/>
        <v>#DIV/0!</v>
      </c>
      <c r="AB154" s="12" t="e">
        <f t="shared" si="104"/>
        <v>#DIV/0!</v>
      </c>
      <c r="AC154" s="12" t="e">
        <f t="shared" si="104"/>
        <v>#DIV/0!</v>
      </c>
      <c r="AD154" s="12" t="e">
        <f t="shared" si="104"/>
        <v>#DIV/0!</v>
      </c>
      <c r="AE154" s="12" t="e">
        <f t="shared" si="104"/>
        <v>#DIV/0!</v>
      </c>
      <c r="AG154" s="12" t="e">
        <f t="shared" ref="AG154:AQ154" si="105">SUM(AG139:AG153)</f>
        <v>#REF!</v>
      </c>
      <c r="AH154" s="12" t="e">
        <f t="shared" si="105"/>
        <v>#REF!</v>
      </c>
      <c r="AI154" s="12" t="e">
        <f t="shared" si="105"/>
        <v>#REF!</v>
      </c>
      <c r="AJ154" s="12" t="e">
        <f t="shared" si="105"/>
        <v>#REF!</v>
      </c>
      <c r="AK154" s="12" t="e">
        <f t="shared" si="105"/>
        <v>#REF!</v>
      </c>
      <c r="AL154" s="12" t="e">
        <f t="shared" si="105"/>
        <v>#REF!</v>
      </c>
      <c r="AM154" s="12" t="e">
        <f t="shared" si="105"/>
        <v>#REF!</v>
      </c>
      <c r="AN154" s="12" t="e">
        <f t="shared" si="105"/>
        <v>#REF!</v>
      </c>
      <c r="AO154" s="12" t="e">
        <f t="shared" si="105"/>
        <v>#REF!</v>
      </c>
      <c r="AP154" s="12" t="e">
        <f t="shared" si="105"/>
        <v>#REF!</v>
      </c>
      <c r="AQ154" s="12" t="e">
        <f t="shared" si="105"/>
        <v>#REF!</v>
      </c>
    </row>
    <row r="155" spans="2:43" x14ac:dyDescent="0.2">
      <c r="B155" s="10" t="s">
        <v>78</v>
      </c>
      <c r="E155" s="32">
        <v>8.6777386708011203E-2</v>
      </c>
      <c r="F155" s="19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7"/>
      <c r="U155" s="14" t="e">
        <f>(740000-U154)</f>
        <v>#REF!</v>
      </c>
      <c r="V155" s="14" t="e">
        <f t="shared" ref="V155:AE155" si="106">(740000-V154)</f>
        <v>#REF!</v>
      </c>
      <c r="W155" s="14" t="e">
        <f t="shared" si="106"/>
        <v>#REF!</v>
      </c>
      <c r="X155" s="14" t="e">
        <f t="shared" si="106"/>
        <v>#REF!</v>
      </c>
      <c r="Y155" s="14" t="e">
        <f t="shared" si="106"/>
        <v>#DIV/0!</v>
      </c>
      <c r="Z155" s="14" t="e">
        <f t="shared" si="106"/>
        <v>#DIV/0!</v>
      </c>
      <c r="AA155" s="14" t="e">
        <f t="shared" si="106"/>
        <v>#DIV/0!</v>
      </c>
      <c r="AB155" s="14" t="e">
        <f t="shared" si="106"/>
        <v>#DIV/0!</v>
      </c>
      <c r="AC155" s="14" t="e">
        <f t="shared" si="106"/>
        <v>#DIV/0!</v>
      </c>
      <c r="AD155" s="14" t="e">
        <f t="shared" si="106"/>
        <v>#DIV/0!</v>
      </c>
      <c r="AE155" s="14" t="e">
        <f t="shared" si="106"/>
        <v>#DIV/0!</v>
      </c>
      <c r="AG155" s="13" t="e">
        <f t="shared" ref="AG155:AQ155" si="107">+U155*$E155</f>
        <v>#REF!</v>
      </c>
      <c r="AH155" s="13" t="e">
        <f t="shared" si="107"/>
        <v>#REF!</v>
      </c>
      <c r="AI155" s="13" t="e">
        <f t="shared" si="107"/>
        <v>#REF!</v>
      </c>
      <c r="AJ155" s="13" t="e">
        <f t="shared" si="107"/>
        <v>#REF!</v>
      </c>
      <c r="AK155" s="13" t="e">
        <f t="shared" si="107"/>
        <v>#DIV/0!</v>
      </c>
      <c r="AL155" s="13" t="e">
        <f t="shared" si="107"/>
        <v>#DIV/0!</v>
      </c>
      <c r="AM155" s="13" t="e">
        <f t="shared" si="107"/>
        <v>#DIV/0!</v>
      </c>
      <c r="AN155" s="13" t="e">
        <f t="shared" si="107"/>
        <v>#DIV/0!</v>
      </c>
      <c r="AO155" s="13" t="e">
        <f t="shared" si="107"/>
        <v>#DIV/0!</v>
      </c>
      <c r="AP155" s="13" t="e">
        <f t="shared" si="107"/>
        <v>#DIV/0!</v>
      </c>
      <c r="AQ155" s="13" t="e">
        <f t="shared" si="107"/>
        <v>#DIV/0!</v>
      </c>
    </row>
    <row r="156" spans="2:43" x14ac:dyDescent="0.2">
      <c r="B156" s="10" t="s">
        <v>66</v>
      </c>
      <c r="E156" s="2"/>
      <c r="F156" s="2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30" t="e">
        <f>850000-U155</f>
        <v>#REF!</v>
      </c>
      <c r="V156" s="30" t="e">
        <f t="shared" ref="V156:AE156" si="108">850000-V155</f>
        <v>#REF!</v>
      </c>
      <c r="W156" s="30" t="e">
        <f t="shared" si="108"/>
        <v>#REF!</v>
      </c>
      <c r="X156" s="30" t="e">
        <f t="shared" si="108"/>
        <v>#REF!</v>
      </c>
      <c r="Y156" s="30" t="e">
        <f t="shared" si="108"/>
        <v>#DIV/0!</v>
      </c>
      <c r="Z156" s="30" t="e">
        <f t="shared" si="108"/>
        <v>#DIV/0!</v>
      </c>
      <c r="AA156" s="30" t="e">
        <f t="shared" si="108"/>
        <v>#DIV/0!</v>
      </c>
      <c r="AB156" s="30" t="e">
        <f t="shared" si="108"/>
        <v>#DIV/0!</v>
      </c>
      <c r="AC156" s="30" t="e">
        <f t="shared" si="108"/>
        <v>#DIV/0!</v>
      </c>
      <c r="AD156" s="30" t="e">
        <f t="shared" si="108"/>
        <v>#DIV/0!</v>
      </c>
      <c r="AE156" s="30" t="e">
        <f t="shared" si="108"/>
        <v>#DIV/0!</v>
      </c>
    </row>
    <row r="157" spans="2:43" x14ac:dyDescent="0.2">
      <c r="B157" s="10" t="s">
        <v>66</v>
      </c>
      <c r="E157" s="18">
        <v>6.169969308329732E-2</v>
      </c>
      <c r="F157" s="18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7"/>
      <c r="U157" s="14" t="e">
        <f>(1090000-U156)</f>
        <v>#REF!</v>
      </c>
      <c r="V157" s="14" t="e">
        <f t="shared" ref="V157:AE157" si="109">(1090000-V156)</f>
        <v>#REF!</v>
      </c>
      <c r="W157" s="14" t="e">
        <f t="shared" si="109"/>
        <v>#REF!</v>
      </c>
      <c r="X157" s="14" t="e">
        <f t="shared" si="109"/>
        <v>#REF!</v>
      </c>
      <c r="Y157" s="14" t="e">
        <f t="shared" si="109"/>
        <v>#DIV/0!</v>
      </c>
      <c r="Z157" s="14" t="e">
        <f t="shared" si="109"/>
        <v>#DIV/0!</v>
      </c>
      <c r="AA157" s="14" t="e">
        <f t="shared" si="109"/>
        <v>#DIV/0!</v>
      </c>
      <c r="AB157" s="14" t="e">
        <f t="shared" si="109"/>
        <v>#DIV/0!</v>
      </c>
      <c r="AC157" s="14" t="e">
        <f t="shared" si="109"/>
        <v>#DIV/0!</v>
      </c>
      <c r="AD157" s="14" t="e">
        <f t="shared" si="109"/>
        <v>#DIV/0!</v>
      </c>
      <c r="AE157" s="14" t="e">
        <f t="shared" si="109"/>
        <v>#DIV/0!</v>
      </c>
      <c r="AG157" s="13" t="e">
        <f t="shared" ref="AG157:AQ157" si="110">+U157*$E157</f>
        <v>#REF!</v>
      </c>
      <c r="AH157" s="13" t="e">
        <f t="shared" si="110"/>
        <v>#REF!</v>
      </c>
      <c r="AI157" s="13" t="e">
        <f t="shared" si="110"/>
        <v>#REF!</v>
      </c>
      <c r="AJ157" s="13" t="e">
        <f t="shared" si="110"/>
        <v>#REF!</v>
      </c>
      <c r="AK157" s="13" t="e">
        <f t="shared" si="110"/>
        <v>#DIV/0!</v>
      </c>
      <c r="AL157" s="13" t="e">
        <f t="shared" si="110"/>
        <v>#DIV/0!</v>
      </c>
      <c r="AM157" s="13" t="e">
        <f t="shared" si="110"/>
        <v>#DIV/0!</v>
      </c>
      <c r="AN157" s="13" t="e">
        <f t="shared" si="110"/>
        <v>#DIV/0!</v>
      </c>
      <c r="AO157" s="13" t="e">
        <f t="shared" si="110"/>
        <v>#DIV/0!</v>
      </c>
      <c r="AP157" s="13" t="e">
        <f t="shared" si="110"/>
        <v>#DIV/0!</v>
      </c>
      <c r="AQ157" s="13" t="e">
        <f t="shared" si="110"/>
        <v>#DIV/0!</v>
      </c>
    </row>
    <row r="158" spans="2:43" x14ac:dyDescent="0.2">
      <c r="B158" s="10" t="s">
        <v>66</v>
      </c>
      <c r="E158" s="18">
        <v>6.169969308329732E-2</v>
      </c>
      <c r="F158" s="1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7"/>
      <c r="U158" s="14" t="e">
        <f>(1090000-U157)</f>
        <v>#REF!</v>
      </c>
      <c r="V158" s="14" t="e">
        <f t="shared" ref="V158:AE159" si="111">(1090000-V157)</f>
        <v>#REF!</v>
      </c>
      <c r="W158" s="14" t="e">
        <f t="shared" si="111"/>
        <v>#REF!</v>
      </c>
      <c r="X158" s="14" t="e">
        <f t="shared" si="111"/>
        <v>#REF!</v>
      </c>
      <c r="Y158" s="14" t="e">
        <f t="shared" si="111"/>
        <v>#DIV/0!</v>
      </c>
      <c r="Z158" s="14" t="e">
        <f t="shared" si="111"/>
        <v>#DIV/0!</v>
      </c>
      <c r="AA158" s="14" t="e">
        <f t="shared" si="111"/>
        <v>#DIV/0!</v>
      </c>
      <c r="AB158" s="14" t="e">
        <f t="shared" si="111"/>
        <v>#DIV/0!</v>
      </c>
      <c r="AC158" s="14" t="e">
        <f t="shared" si="111"/>
        <v>#DIV/0!</v>
      </c>
      <c r="AD158" s="14" t="e">
        <f t="shared" si="111"/>
        <v>#DIV/0!</v>
      </c>
      <c r="AE158" s="14" t="e">
        <f t="shared" si="111"/>
        <v>#DIV/0!</v>
      </c>
      <c r="AG158" s="13" t="e">
        <f t="shared" ref="AG158:AQ159" si="112">+U158*$E158</f>
        <v>#REF!</v>
      </c>
      <c r="AH158" s="13" t="e">
        <f t="shared" si="112"/>
        <v>#REF!</v>
      </c>
      <c r="AI158" s="13" t="e">
        <f t="shared" si="112"/>
        <v>#REF!</v>
      </c>
      <c r="AJ158" s="13" t="e">
        <f t="shared" si="112"/>
        <v>#REF!</v>
      </c>
      <c r="AK158" s="13" t="e">
        <f t="shared" si="112"/>
        <v>#DIV/0!</v>
      </c>
      <c r="AL158" s="13" t="e">
        <f t="shared" si="112"/>
        <v>#DIV/0!</v>
      </c>
      <c r="AM158" s="13" t="e">
        <f t="shared" si="112"/>
        <v>#DIV/0!</v>
      </c>
      <c r="AN158" s="13" t="e">
        <f t="shared" si="112"/>
        <v>#DIV/0!</v>
      </c>
      <c r="AO158" s="13" t="e">
        <f t="shared" si="112"/>
        <v>#DIV/0!</v>
      </c>
      <c r="AP158" s="13" t="e">
        <f t="shared" si="112"/>
        <v>#DIV/0!</v>
      </c>
      <c r="AQ158" s="13" t="e">
        <f t="shared" si="112"/>
        <v>#DIV/0!</v>
      </c>
    </row>
    <row r="159" spans="2:43" x14ac:dyDescent="0.2">
      <c r="B159" s="10" t="s">
        <v>66</v>
      </c>
      <c r="E159" s="18">
        <v>6.169969308329732E-2</v>
      </c>
      <c r="F159" s="18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7"/>
      <c r="U159" s="14" t="e">
        <f>(1090000-U158)</f>
        <v>#REF!</v>
      </c>
      <c r="V159" s="14" t="e">
        <f t="shared" si="111"/>
        <v>#REF!</v>
      </c>
      <c r="W159" s="14" t="e">
        <f t="shared" si="111"/>
        <v>#REF!</v>
      </c>
      <c r="X159" s="14" t="e">
        <f t="shared" si="111"/>
        <v>#REF!</v>
      </c>
      <c r="Y159" s="14" t="e">
        <f t="shared" si="111"/>
        <v>#DIV/0!</v>
      </c>
      <c r="Z159" s="14" t="e">
        <f t="shared" si="111"/>
        <v>#DIV/0!</v>
      </c>
      <c r="AA159" s="14" t="e">
        <f t="shared" si="111"/>
        <v>#DIV/0!</v>
      </c>
      <c r="AB159" s="14" t="e">
        <f t="shared" si="111"/>
        <v>#DIV/0!</v>
      </c>
      <c r="AC159" s="14" t="e">
        <f t="shared" si="111"/>
        <v>#DIV/0!</v>
      </c>
      <c r="AD159" s="14" t="e">
        <f t="shared" si="111"/>
        <v>#DIV/0!</v>
      </c>
      <c r="AE159" s="14" t="e">
        <f t="shared" si="111"/>
        <v>#DIV/0!</v>
      </c>
      <c r="AG159" s="13" t="e">
        <f t="shared" si="112"/>
        <v>#REF!</v>
      </c>
      <c r="AH159" s="13" t="e">
        <f t="shared" si="112"/>
        <v>#REF!</v>
      </c>
      <c r="AI159" s="13" t="e">
        <f t="shared" si="112"/>
        <v>#REF!</v>
      </c>
      <c r="AJ159" s="13" t="e">
        <f t="shared" si="112"/>
        <v>#REF!</v>
      </c>
      <c r="AK159" s="13" t="e">
        <f t="shared" si="112"/>
        <v>#DIV/0!</v>
      </c>
      <c r="AL159" s="13" t="e">
        <f t="shared" si="112"/>
        <v>#DIV/0!</v>
      </c>
      <c r="AM159" s="13" t="e">
        <f t="shared" si="112"/>
        <v>#DIV/0!</v>
      </c>
      <c r="AN159" s="13" t="e">
        <f t="shared" si="112"/>
        <v>#DIV/0!</v>
      </c>
      <c r="AO159" s="13" t="e">
        <f t="shared" si="112"/>
        <v>#DIV/0!</v>
      </c>
      <c r="AP159" s="13" t="e">
        <f t="shared" si="112"/>
        <v>#DIV/0!</v>
      </c>
      <c r="AQ159" s="13" t="e">
        <f t="shared" si="112"/>
        <v>#DIV/0!</v>
      </c>
    </row>
    <row r="160" spans="2:43" x14ac:dyDescent="0.2">
      <c r="B160" s="10"/>
      <c r="E160" s="2"/>
      <c r="F160" s="2"/>
      <c r="G160" s="11"/>
      <c r="H160" s="12"/>
      <c r="I160" s="12"/>
      <c r="J160" s="12"/>
      <c r="K160" s="12"/>
      <c r="L160" s="12"/>
      <c r="M160" s="14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2:43" x14ac:dyDescent="0.2">
      <c r="B161" s="10"/>
      <c r="E161" s="2"/>
      <c r="F161" s="2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2:43" x14ac:dyDescent="0.2">
      <c r="B162" s="10"/>
      <c r="E162" s="2"/>
      <c r="F162" s="2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2:43" x14ac:dyDescent="0.2">
      <c r="D163" s="16" t="s">
        <v>73</v>
      </c>
      <c r="E163" s="2" t="s">
        <v>1</v>
      </c>
      <c r="F163" s="2"/>
      <c r="G163" s="3" t="s">
        <v>2</v>
      </c>
    </row>
    <row r="164" spans="2:43" x14ac:dyDescent="0.2">
      <c r="B164" s="10"/>
      <c r="C164" s="31"/>
      <c r="E164" s="2"/>
      <c r="F164" s="2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7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2:43" x14ac:dyDescent="0.2">
      <c r="B165" s="10"/>
      <c r="E165" s="19"/>
      <c r="F165" s="19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7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2:43" x14ac:dyDescent="0.2">
      <c r="B166" s="10"/>
      <c r="E166" s="2"/>
      <c r="F166" s="2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7"/>
    </row>
    <row r="167" spans="2:43" x14ac:dyDescent="0.2">
      <c r="D167" s="16" t="s">
        <v>74</v>
      </c>
      <c r="E167" s="2" t="s">
        <v>1</v>
      </c>
      <c r="F167" s="2"/>
      <c r="G167" s="3" t="s">
        <v>2</v>
      </c>
    </row>
    <row r="168" spans="2:43" x14ac:dyDescent="0.2">
      <c r="B168" s="10"/>
      <c r="E168" s="2"/>
      <c r="F168" s="27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2:43" x14ac:dyDescent="0.2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7"/>
      <c r="U169" s="17"/>
    </row>
    <row r="170" spans="2:43" x14ac:dyDescent="0.2">
      <c r="D170" s="16" t="s">
        <v>73</v>
      </c>
      <c r="E170" s="2" t="s">
        <v>1</v>
      </c>
      <c r="F170" s="25" t="s">
        <v>61</v>
      </c>
      <c r="G170" s="3" t="s">
        <v>2</v>
      </c>
    </row>
    <row r="171" spans="2:43" x14ac:dyDescent="0.2">
      <c r="G171" s="46"/>
    </row>
    <row r="173" spans="2:43" x14ac:dyDescent="0.2">
      <c r="D173" s="16" t="s">
        <v>96</v>
      </c>
      <c r="E173" s="2" t="s">
        <v>1</v>
      </c>
      <c r="F173" s="25" t="s">
        <v>61</v>
      </c>
      <c r="G173" s="3" t="s">
        <v>2</v>
      </c>
    </row>
  </sheetData>
  <mergeCells count="3">
    <mergeCell ref="H2:R2"/>
    <mergeCell ref="U2:AE2"/>
    <mergeCell ref="AG2:AQ2"/>
  </mergeCells>
  <phoneticPr fontId="0" type="noConversion"/>
  <pageMargins left="0.37" right="0.26" top="0.49" bottom="0.48" header="0.5" footer="0.5"/>
  <pageSetup scale="7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0"/>
  <sheetViews>
    <sheetView tabSelected="1" topLeftCell="AJ1" zoomScale="75" workbookViewId="0">
      <selection activeCell="AR14" sqref="AR14"/>
    </sheetView>
  </sheetViews>
  <sheetFormatPr defaultRowHeight="12.75" x14ac:dyDescent="0.2"/>
  <cols>
    <col min="1" max="1" width="20.28515625" bestFit="1" customWidth="1"/>
    <col min="2" max="2" width="24.140625" customWidth="1"/>
    <col min="3" max="3" width="9.140625" style="56"/>
    <col min="4" max="4" width="16" style="75" bestFit="1" customWidth="1"/>
    <col min="5" max="5" width="13.5703125" style="56" bestFit="1" customWidth="1"/>
    <col min="6" max="6" width="13.140625" style="69" customWidth="1"/>
    <col min="7" max="7" width="9.85546875" style="69" customWidth="1"/>
    <col min="8" max="8" width="10.5703125" style="73" customWidth="1"/>
    <col min="9" max="10" width="10.5703125" style="16" customWidth="1"/>
    <col min="11" max="11" width="10.7109375" customWidth="1"/>
    <col min="23" max="28" width="12.28515625" customWidth="1"/>
    <col min="29" max="31" width="11.28515625" customWidth="1"/>
    <col min="32" max="33" width="10.28515625" customWidth="1"/>
    <col min="35" max="42" width="15" bestFit="1" customWidth="1"/>
    <col min="43" max="43" width="13.42578125" bestFit="1" customWidth="1"/>
    <col min="44" max="45" width="12.28515625" bestFit="1" customWidth="1"/>
  </cols>
  <sheetData>
    <row r="1" spans="1:45" x14ac:dyDescent="0.2">
      <c r="A1" s="99" t="s">
        <v>129</v>
      </c>
    </row>
    <row r="2" spans="1:45" x14ac:dyDescent="0.2">
      <c r="A2" s="100" t="s">
        <v>130</v>
      </c>
    </row>
    <row r="3" spans="1:45" x14ac:dyDescent="0.2">
      <c r="A3" s="119" t="s">
        <v>137</v>
      </c>
    </row>
    <row r="4" spans="1:45" x14ac:dyDescent="0.2">
      <c r="A4" s="102" t="s">
        <v>132</v>
      </c>
    </row>
    <row r="5" spans="1:45" x14ac:dyDescent="0.2">
      <c r="A5" s="103" t="s">
        <v>131</v>
      </c>
    </row>
    <row r="6" spans="1:45" x14ac:dyDescent="0.2">
      <c r="A6" s="106" t="s">
        <v>133</v>
      </c>
      <c r="K6">
        <v>366</v>
      </c>
      <c r="L6">
        <v>365</v>
      </c>
      <c r="M6">
        <v>365</v>
      </c>
      <c r="N6">
        <v>365</v>
      </c>
      <c r="O6">
        <v>366</v>
      </c>
      <c r="P6">
        <v>365</v>
      </c>
      <c r="Q6">
        <v>365</v>
      </c>
      <c r="R6">
        <v>365</v>
      </c>
      <c r="S6">
        <v>366</v>
      </c>
      <c r="T6">
        <v>365</v>
      </c>
      <c r="U6">
        <v>365</v>
      </c>
    </row>
    <row r="7" spans="1:45" s="31" customFormat="1" x14ac:dyDescent="0.2">
      <c r="A7" s="114" t="s">
        <v>136</v>
      </c>
      <c r="C7" s="60"/>
      <c r="D7" s="115"/>
      <c r="E7" s="60"/>
      <c r="F7" s="116"/>
      <c r="G7" s="116"/>
      <c r="H7" s="97"/>
      <c r="I7" s="117"/>
      <c r="J7" s="117"/>
    </row>
    <row r="8" spans="1:45" x14ac:dyDescent="0.2">
      <c r="A8" s="107" t="s">
        <v>134</v>
      </c>
      <c r="K8" s="127" t="s">
        <v>3</v>
      </c>
      <c r="L8" s="128"/>
      <c r="M8" s="128"/>
      <c r="N8" s="128"/>
      <c r="O8" s="128"/>
      <c r="P8" s="128"/>
      <c r="Q8" s="128"/>
      <c r="R8" s="128"/>
      <c r="S8" s="128"/>
      <c r="T8" s="128"/>
      <c r="U8" s="129"/>
      <c r="V8" s="3"/>
      <c r="W8" s="130" t="s">
        <v>4</v>
      </c>
      <c r="X8" s="131"/>
      <c r="Y8" s="131"/>
      <c r="Z8" s="131"/>
      <c r="AA8" s="131"/>
      <c r="AB8" s="131"/>
      <c r="AC8" s="131"/>
      <c r="AD8" s="131"/>
      <c r="AE8" s="131"/>
      <c r="AF8" s="131"/>
      <c r="AG8" s="132"/>
      <c r="AI8" s="130" t="s">
        <v>5</v>
      </c>
      <c r="AJ8" s="131"/>
      <c r="AK8" s="131"/>
      <c r="AL8" s="131"/>
      <c r="AM8" s="131"/>
      <c r="AN8" s="131"/>
      <c r="AO8" s="131"/>
      <c r="AP8" s="131"/>
      <c r="AQ8" s="131"/>
      <c r="AR8" s="131"/>
      <c r="AS8" s="132"/>
    </row>
    <row r="9" spans="1:45" x14ac:dyDescent="0.2">
      <c r="A9" s="111" t="s">
        <v>135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9"/>
      <c r="X9" s="3"/>
      <c r="Y9" s="3"/>
      <c r="Z9" s="3"/>
      <c r="AA9" s="3"/>
      <c r="AB9" s="3"/>
      <c r="AC9" s="3"/>
      <c r="AD9" s="3"/>
      <c r="AE9" s="3"/>
      <c r="AF9" s="3"/>
      <c r="AG9" s="110"/>
      <c r="AI9" s="109"/>
      <c r="AJ9" s="3"/>
      <c r="AK9" s="3"/>
      <c r="AL9" s="3"/>
      <c r="AM9" s="3"/>
      <c r="AN9" s="3"/>
      <c r="AO9" s="3"/>
      <c r="AP9" s="3"/>
      <c r="AQ9" s="3"/>
      <c r="AR9" s="3"/>
      <c r="AS9" s="110"/>
    </row>
    <row r="10" spans="1:45" ht="13.5" thickBot="1" x14ac:dyDescent="0.25">
      <c r="A10" s="52" t="s">
        <v>108</v>
      </c>
      <c r="B10" s="52" t="s">
        <v>6</v>
      </c>
      <c r="C10" s="55" t="s">
        <v>7</v>
      </c>
      <c r="D10" s="74" t="s">
        <v>111</v>
      </c>
      <c r="E10" s="55" t="s">
        <v>112</v>
      </c>
      <c r="F10" s="68" t="s">
        <v>113</v>
      </c>
      <c r="G10" s="68" t="s">
        <v>114</v>
      </c>
      <c r="H10" s="54" t="s">
        <v>109</v>
      </c>
      <c r="I10" s="53" t="s">
        <v>110</v>
      </c>
      <c r="J10" s="8" t="s">
        <v>2</v>
      </c>
      <c r="K10" s="6">
        <v>2000</v>
      </c>
      <c r="L10" s="6">
        <v>2001</v>
      </c>
      <c r="M10" s="6">
        <v>2002</v>
      </c>
      <c r="N10" s="6">
        <v>2003</v>
      </c>
      <c r="O10" s="6">
        <v>2004</v>
      </c>
      <c r="P10" s="6">
        <v>2005</v>
      </c>
      <c r="Q10" s="6">
        <v>2006</v>
      </c>
      <c r="R10" s="6">
        <v>2007</v>
      </c>
      <c r="S10" s="6">
        <v>2008</v>
      </c>
      <c r="T10" s="6">
        <v>2009</v>
      </c>
      <c r="U10" s="6">
        <v>2010</v>
      </c>
      <c r="V10" s="3"/>
      <c r="W10" s="7">
        <v>2000</v>
      </c>
      <c r="X10" s="8">
        <v>2001</v>
      </c>
      <c r="Y10" s="8">
        <v>2002</v>
      </c>
      <c r="Z10" s="8">
        <v>2003</v>
      </c>
      <c r="AA10" s="8">
        <v>2004</v>
      </c>
      <c r="AB10" s="8">
        <v>2005</v>
      </c>
      <c r="AC10" s="8">
        <v>2006</v>
      </c>
      <c r="AD10" s="8">
        <v>2007</v>
      </c>
      <c r="AE10" s="8">
        <v>2008</v>
      </c>
      <c r="AF10" s="8">
        <v>2009</v>
      </c>
      <c r="AG10" s="9">
        <v>2010</v>
      </c>
      <c r="AI10" s="7">
        <v>2000</v>
      </c>
      <c r="AJ10" s="8">
        <v>2001</v>
      </c>
      <c r="AK10" s="8">
        <v>2002</v>
      </c>
      <c r="AL10" s="8">
        <v>2003</v>
      </c>
      <c r="AM10" s="8">
        <v>2004</v>
      </c>
      <c r="AN10" s="8">
        <v>2005</v>
      </c>
      <c r="AO10" s="8">
        <v>2006</v>
      </c>
      <c r="AP10" s="8">
        <v>2007</v>
      </c>
      <c r="AQ10" s="8">
        <v>2008</v>
      </c>
      <c r="AR10" s="8">
        <v>2009</v>
      </c>
      <c r="AS10" s="9">
        <v>2010</v>
      </c>
    </row>
    <row r="11" spans="1:45" x14ac:dyDescent="0.2">
      <c r="A11" s="101" t="s">
        <v>93</v>
      </c>
      <c r="B11" s="10" t="s">
        <v>32</v>
      </c>
      <c r="C11" s="60">
        <v>26490</v>
      </c>
      <c r="D11" s="75">
        <v>70000</v>
      </c>
      <c r="E11" s="57" t="s">
        <v>115</v>
      </c>
      <c r="F11" s="69">
        <v>4.07E-2</v>
      </c>
      <c r="G11" s="69">
        <v>9.2999999999999992E-3</v>
      </c>
      <c r="H11" s="72">
        <f t="shared" ref="H11:H43" si="0">+G11+F11</f>
        <v>0.05</v>
      </c>
      <c r="I11" s="63">
        <v>36100</v>
      </c>
      <c r="J11" s="64">
        <v>37925</v>
      </c>
      <c r="K11">
        <v>366</v>
      </c>
      <c r="L11">
        <v>365</v>
      </c>
      <c r="M11">
        <v>365</v>
      </c>
      <c r="N11">
        <v>304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>+K11*$D11</f>
        <v>25620000</v>
      </c>
      <c r="X11" s="30">
        <f t="shared" ref="X11:AG11" si="1">+L11*$D$11</f>
        <v>25550000</v>
      </c>
      <c r="Y11" s="30">
        <f t="shared" si="1"/>
        <v>25550000</v>
      </c>
      <c r="Z11" s="30">
        <f t="shared" si="1"/>
        <v>21280000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I11" s="95">
        <f>+W11*($F11+$G11)</f>
        <v>1281000</v>
      </c>
      <c r="AJ11" s="95">
        <f t="shared" ref="AJ11:AS26" si="2">+X11*($F11+$G11)</f>
        <v>1277500</v>
      </c>
      <c r="AK11" s="95">
        <f t="shared" si="2"/>
        <v>1277500</v>
      </c>
      <c r="AL11" s="95">
        <f t="shared" si="2"/>
        <v>1064000</v>
      </c>
      <c r="AM11" s="95">
        <f t="shared" si="2"/>
        <v>0</v>
      </c>
      <c r="AN11" s="95">
        <f t="shared" si="2"/>
        <v>0</v>
      </c>
      <c r="AO11" s="95">
        <f t="shared" si="2"/>
        <v>0</v>
      </c>
      <c r="AP11" s="95">
        <f t="shared" si="2"/>
        <v>0</v>
      </c>
      <c r="AQ11" s="95">
        <f t="shared" si="2"/>
        <v>0</v>
      </c>
      <c r="AR11" s="95">
        <f t="shared" si="2"/>
        <v>0</v>
      </c>
      <c r="AS11" s="95">
        <f t="shared" si="2"/>
        <v>0</v>
      </c>
    </row>
    <row r="12" spans="1:45" x14ac:dyDescent="0.2">
      <c r="A12" s="80" t="s">
        <v>93</v>
      </c>
      <c r="B12" s="42" t="s">
        <v>32</v>
      </c>
      <c r="C12" s="59">
        <v>27377</v>
      </c>
      <c r="D12" s="76">
        <v>10000</v>
      </c>
      <c r="E12" s="57" t="s">
        <v>115</v>
      </c>
      <c r="F12" s="67">
        <v>4.07E-2</v>
      </c>
      <c r="G12" s="67">
        <v>9.2999999999999992E-3</v>
      </c>
      <c r="H12" s="72">
        <f t="shared" si="0"/>
        <v>0.05</v>
      </c>
      <c r="I12" s="46">
        <v>36951</v>
      </c>
      <c r="J12" s="64">
        <v>37315</v>
      </c>
      <c r="K12">
        <v>0</v>
      </c>
      <c r="L12">
        <v>306</v>
      </c>
      <c r="M12">
        <v>59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ref="W12:W50" si="3">+K12*$D12</f>
        <v>0</v>
      </c>
      <c r="X12" s="30">
        <f t="shared" ref="X12:X50" si="4">+L12*$D12</f>
        <v>3060000</v>
      </c>
      <c r="Y12" s="30">
        <f t="shared" ref="Y12:Y50" si="5">+M12*$D12</f>
        <v>590000</v>
      </c>
      <c r="Z12" s="30">
        <f t="shared" ref="Z12:Z50" si="6">+N12*$D12</f>
        <v>0</v>
      </c>
      <c r="AA12" s="30">
        <f t="shared" ref="AA12:AA50" si="7">+O12*$D12</f>
        <v>0</v>
      </c>
      <c r="AB12" s="30">
        <f t="shared" ref="AB12:AB50" si="8">+P12*$D12</f>
        <v>0</v>
      </c>
      <c r="AC12" s="30">
        <f t="shared" ref="AC12:AC50" si="9">+Q12*$D12</f>
        <v>0</v>
      </c>
      <c r="AD12" s="30">
        <f t="shared" ref="AD12:AD50" si="10">+R12*$D12</f>
        <v>0</v>
      </c>
      <c r="AE12" s="30">
        <f t="shared" ref="AE12:AE50" si="11">+S12*$D12</f>
        <v>0</v>
      </c>
      <c r="AF12" s="30">
        <f t="shared" ref="AF12:AF50" si="12">+T12*$D12</f>
        <v>0</v>
      </c>
      <c r="AG12" s="30">
        <f t="shared" ref="AG12:AG50" si="13">+U12*$D12</f>
        <v>0</v>
      </c>
      <c r="AI12" s="95">
        <f t="shared" ref="AI12:AI50" si="14">+W12*($F12+$G12)</f>
        <v>0</v>
      </c>
      <c r="AJ12" s="95">
        <f t="shared" si="2"/>
        <v>153000</v>
      </c>
      <c r="AK12" s="95">
        <f t="shared" si="2"/>
        <v>29500</v>
      </c>
      <c r="AL12" s="95">
        <f t="shared" si="2"/>
        <v>0</v>
      </c>
      <c r="AM12" s="95">
        <f t="shared" si="2"/>
        <v>0</v>
      </c>
      <c r="AN12" s="95">
        <f t="shared" si="2"/>
        <v>0</v>
      </c>
      <c r="AO12" s="95">
        <f t="shared" si="2"/>
        <v>0</v>
      </c>
      <c r="AP12" s="95">
        <f t="shared" si="2"/>
        <v>0</v>
      </c>
      <c r="AQ12" s="95">
        <f t="shared" si="2"/>
        <v>0</v>
      </c>
      <c r="AR12" s="95">
        <f t="shared" si="2"/>
        <v>0</v>
      </c>
      <c r="AS12" s="95">
        <f t="shared" si="2"/>
        <v>0</v>
      </c>
    </row>
    <row r="13" spans="1:45" x14ac:dyDescent="0.2">
      <c r="A13" s="80" t="s">
        <v>93</v>
      </c>
      <c r="B13" s="42" t="s">
        <v>32</v>
      </c>
      <c r="C13" s="59" t="s">
        <v>85</v>
      </c>
      <c r="D13" s="76">
        <v>40000</v>
      </c>
      <c r="E13" s="57" t="s">
        <v>115</v>
      </c>
      <c r="F13" s="67">
        <v>5.0700000000000002E-2</v>
      </c>
      <c r="G13" s="67">
        <v>9.2999999999999992E-3</v>
      </c>
      <c r="H13" s="72">
        <f t="shared" si="0"/>
        <v>0.06</v>
      </c>
      <c r="I13" s="46">
        <v>36100</v>
      </c>
      <c r="J13" s="64">
        <v>37925</v>
      </c>
      <c r="K13">
        <v>366</v>
      </c>
      <c r="L13">
        <v>365</v>
      </c>
      <c r="M13">
        <v>365</v>
      </c>
      <c r="N13">
        <v>304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3"/>
        <v>14640000</v>
      </c>
      <c r="X13" s="30">
        <f t="shared" si="4"/>
        <v>14600000</v>
      </c>
      <c r="Y13" s="30">
        <f t="shared" si="5"/>
        <v>14600000</v>
      </c>
      <c r="Z13" s="30">
        <f t="shared" si="6"/>
        <v>12160000</v>
      </c>
      <c r="AA13" s="30">
        <f t="shared" si="7"/>
        <v>0</v>
      </c>
      <c r="AB13" s="30">
        <f t="shared" si="8"/>
        <v>0</v>
      </c>
      <c r="AC13" s="30">
        <f t="shared" si="9"/>
        <v>0</v>
      </c>
      <c r="AD13" s="30">
        <f t="shared" si="10"/>
        <v>0</v>
      </c>
      <c r="AE13" s="30">
        <f t="shared" si="11"/>
        <v>0</v>
      </c>
      <c r="AF13" s="30">
        <f t="shared" si="12"/>
        <v>0</v>
      </c>
      <c r="AG13" s="30">
        <f t="shared" si="13"/>
        <v>0</v>
      </c>
      <c r="AI13" s="95">
        <f t="shared" si="14"/>
        <v>878400</v>
      </c>
      <c r="AJ13" s="95">
        <f t="shared" si="2"/>
        <v>876000</v>
      </c>
      <c r="AK13" s="95">
        <f t="shared" si="2"/>
        <v>876000</v>
      </c>
      <c r="AL13" s="95">
        <f t="shared" si="2"/>
        <v>729600</v>
      </c>
      <c r="AM13" s="95">
        <f t="shared" si="2"/>
        <v>0</v>
      </c>
      <c r="AN13" s="95">
        <f t="shared" si="2"/>
        <v>0</v>
      </c>
      <c r="AO13" s="95">
        <f t="shared" si="2"/>
        <v>0</v>
      </c>
      <c r="AP13" s="95">
        <f t="shared" si="2"/>
        <v>0</v>
      </c>
      <c r="AQ13" s="95">
        <f t="shared" si="2"/>
        <v>0</v>
      </c>
      <c r="AR13" s="95">
        <f t="shared" si="2"/>
        <v>0</v>
      </c>
      <c r="AS13" s="95">
        <f t="shared" si="2"/>
        <v>0</v>
      </c>
    </row>
    <row r="14" spans="1:45" x14ac:dyDescent="0.2">
      <c r="A14" s="101" t="s">
        <v>93</v>
      </c>
      <c r="B14" s="10" t="s">
        <v>31</v>
      </c>
      <c r="C14" s="60">
        <v>26683</v>
      </c>
      <c r="D14" s="75">
        <v>8000</v>
      </c>
      <c r="E14" s="56" t="s">
        <v>118</v>
      </c>
      <c r="F14" s="69">
        <v>0.10199999999999999</v>
      </c>
      <c r="G14" s="69">
        <v>1.1000000000000001E-3</v>
      </c>
      <c r="H14" s="72">
        <f t="shared" si="0"/>
        <v>0.1031</v>
      </c>
      <c r="I14" s="63">
        <v>36220</v>
      </c>
      <c r="J14" s="64">
        <v>37346</v>
      </c>
      <c r="K14">
        <v>366</v>
      </c>
      <c r="L14">
        <v>365</v>
      </c>
      <c r="M14">
        <v>90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3"/>
        <v>2928000</v>
      </c>
      <c r="X14" s="30">
        <f t="shared" si="4"/>
        <v>2920000</v>
      </c>
      <c r="Y14" s="30">
        <f t="shared" si="5"/>
        <v>720000</v>
      </c>
      <c r="Z14" s="30">
        <f t="shared" si="6"/>
        <v>0</v>
      </c>
      <c r="AA14" s="30">
        <f t="shared" si="7"/>
        <v>0</v>
      </c>
      <c r="AB14" s="30">
        <f t="shared" si="8"/>
        <v>0</v>
      </c>
      <c r="AC14" s="30">
        <f t="shared" si="9"/>
        <v>0</v>
      </c>
      <c r="AD14" s="30">
        <f t="shared" si="10"/>
        <v>0</v>
      </c>
      <c r="AE14" s="30">
        <f t="shared" si="11"/>
        <v>0</v>
      </c>
      <c r="AF14" s="30">
        <f t="shared" si="12"/>
        <v>0</v>
      </c>
      <c r="AG14" s="30">
        <f t="shared" si="13"/>
        <v>0</v>
      </c>
      <c r="AI14" s="95">
        <f t="shared" si="14"/>
        <v>301876.8</v>
      </c>
      <c r="AJ14" s="95">
        <f t="shared" si="2"/>
        <v>301052</v>
      </c>
      <c r="AK14" s="95">
        <f t="shared" si="2"/>
        <v>74232</v>
      </c>
      <c r="AL14" s="95">
        <f t="shared" si="2"/>
        <v>0</v>
      </c>
      <c r="AM14" s="95">
        <f t="shared" si="2"/>
        <v>0</v>
      </c>
      <c r="AN14" s="95">
        <f t="shared" si="2"/>
        <v>0</v>
      </c>
      <c r="AO14" s="95">
        <f t="shared" si="2"/>
        <v>0</v>
      </c>
      <c r="AP14" s="95">
        <f t="shared" si="2"/>
        <v>0</v>
      </c>
      <c r="AQ14" s="95">
        <f t="shared" si="2"/>
        <v>0</v>
      </c>
      <c r="AR14" s="95">
        <f t="shared" si="2"/>
        <v>0</v>
      </c>
      <c r="AS14" s="95">
        <f t="shared" si="2"/>
        <v>0</v>
      </c>
    </row>
    <row r="15" spans="1:45" x14ac:dyDescent="0.2">
      <c r="A15" s="101" t="s">
        <v>93</v>
      </c>
      <c r="B15" s="10" t="s">
        <v>31</v>
      </c>
      <c r="C15" s="60">
        <v>27334</v>
      </c>
      <c r="D15" s="75">
        <v>14000</v>
      </c>
      <c r="E15" s="57" t="s">
        <v>115</v>
      </c>
      <c r="F15" s="69">
        <v>4.07E-2</v>
      </c>
      <c r="G15" s="69">
        <v>9.2999999999999992E-3</v>
      </c>
      <c r="H15" s="72">
        <f t="shared" si="0"/>
        <v>0.05</v>
      </c>
      <c r="I15" s="63">
        <v>36982</v>
      </c>
      <c r="J15" s="64">
        <v>37195</v>
      </c>
      <c r="K15">
        <v>0</v>
      </c>
      <c r="L15">
        <v>214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3"/>
        <v>0</v>
      </c>
      <c r="X15" s="30">
        <f t="shared" si="4"/>
        <v>2996000</v>
      </c>
      <c r="Y15" s="30">
        <f t="shared" si="5"/>
        <v>0</v>
      </c>
      <c r="Z15" s="30">
        <f t="shared" si="6"/>
        <v>0</v>
      </c>
      <c r="AA15" s="30">
        <f t="shared" si="7"/>
        <v>0</v>
      </c>
      <c r="AB15" s="30">
        <f t="shared" si="8"/>
        <v>0</v>
      </c>
      <c r="AC15" s="30">
        <f t="shared" si="9"/>
        <v>0</v>
      </c>
      <c r="AD15" s="30">
        <f t="shared" si="10"/>
        <v>0</v>
      </c>
      <c r="AE15" s="30">
        <f t="shared" si="11"/>
        <v>0</v>
      </c>
      <c r="AF15" s="30">
        <f t="shared" si="12"/>
        <v>0</v>
      </c>
      <c r="AG15" s="30">
        <f t="shared" si="13"/>
        <v>0</v>
      </c>
      <c r="AI15" s="95">
        <f t="shared" si="14"/>
        <v>0</v>
      </c>
      <c r="AJ15" s="95">
        <f t="shared" si="2"/>
        <v>149800</v>
      </c>
      <c r="AK15" s="95">
        <f t="shared" si="2"/>
        <v>0</v>
      </c>
      <c r="AL15" s="95">
        <f t="shared" si="2"/>
        <v>0</v>
      </c>
      <c r="AM15" s="95">
        <f t="shared" si="2"/>
        <v>0</v>
      </c>
      <c r="AN15" s="95">
        <f t="shared" si="2"/>
        <v>0</v>
      </c>
      <c r="AO15" s="95">
        <f t="shared" si="2"/>
        <v>0</v>
      </c>
      <c r="AP15" s="95">
        <f t="shared" si="2"/>
        <v>0</v>
      </c>
      <c r="AQ15" s="95">
        <f t="shared" si="2"/>
        <v>0</v>
      </c>
      <c r="AR15" s="95">
        <f t="shared" si="2"/>
        <v>0</v>
      </c>
      <c r="AS15" s="95">
        <f t="shared" si="2"/>
        <v>0</v>
      </c>
    </row>
    <row r="16" spans="1:45" x14ac:dyDescent="0.2">
      <c r="A16" s="80" t="s">
        <v>93</v>
      </c>
      <c r="B16" s="42" t="s">
        <v>89</v>
      </c>
      <c r="C16" s="59">
        <v>27495</v>
      </c>
      <c r="D16" s="76">
        <v>50000</v>
      </c>
      <c r="E16" s="57" t="s">
        <v>116</v>
      </c>
      <c r="F16" s="67">
        <v>3.2500000000000001E-2</v>
      </c>
      <c r="G16" s="67"/>
      <c r="H16" s="72">
        <f t="shared" si="0"/>
        <v>3.2500000000000001E-2</v>
      </c>
      <c r="I16" s="46">
        <v>36951</v>
      </c>
      <c r="J16" s="64">
        <v>37711</v>
      </c>
      <c r="K16">
        <v>0</v>
      </c>
      <c r="L16">
        <v>306</v>
      </c>
      <c r="M16">
        <v>365</v>
      </c>
      <c r="N16">
        <v>90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3"/>
        <v>0</v>
      </c>
      <c r="X16" s="30">
        <f t="shared" si="4"/>
        <v>15300000</v>
      </c>
      <c r="Y16" s="30">
        <f t="shared" si="5"/>
        <v>18250000</v>
      </c>
      <c r="Z16" s="30">
        <f t="shared" si="6"/>
        <v>4500000</v>
      </c>
      <c r="AA16" s="30">
        <f t="shared" si="7"/>
        <v>0</v>
      </c>
      <c r="AB16" s="30">
        <f t="shared" si="8"/>
        <v>0</v>
      </c>
      <c r="AC16" s="30">
        <f t="shared" si="9"/>
        <v>0</v>
      </c>
      <c r="AD16" s="30">
        <f t="shared" si="10"/>
        <v>0</v>
      </c>
      <c r="AE16" s="30">
        <f t="shared" si="11"/>
        <v>0</v>
      </c>
      <c r="AF16" s="30">
        <f t="shared" si="12"/>
        <v>0</v>
      </c>
      <c r="AG16" s="30">
        <f t="shared" si="13"/>
        <v>0</v>
      </c>
      <c r="AI16" s="95">
        <f t="shared" si="14"/>
        <v>0</v>
      </c>
      <c r="AJ16" s="95">
        <f t="shared" si="2"/>
        <v>497250</v>
      </c>
      <c r="AK16" s="95">
        <f t="shared" si="2"/>
        <v>593125</v>
      </c>
      <c r="AL16" s="95">
        <f t="shared" si="2"/>
        <v>146250</v>
      </c>
      <c r="AM16" s="95">
        <f t="shared" si="2"/>
        <v>0</v>
      </c>
      <c r="AN16" s="95">
        <f t="shared" si="2"/>
        <v>0</v>
      </c>
      <c r="AO16" s="95">
        <f t="shared" si="2"/>
        <v>0</v>
      </c>
      <c r="AP16" s="95">
        <f t="shared" si="2"/>
        <v>0</v>
      </c>
      <c r="AQ16" s="95">
        <f t="shared" si="2"/>
        <v>0</v>
      </c>
      <c r="AR16" s="95">
        <f t="shared" si="2"/>
        <v>0</v>
      </c>
      <c r="AS16" s="95">
        <f t="shared" si="2"/>
        <v>0</v>
      </c>
    </row>
    <row r="17" spans="1:45" x14ac:dyDescent="0.2">
      <c r="A17" s="101" t="s">
        <v>72</v>
      </c>
      <c r="B17" s="42" t="s">
        <v>89</v>
      </c>
      <c r="C17" s="59">
        <v>27495</v>
      </c>
      <c r="D17" s="76">
        <v>0</v>
      </c>
      <c r="E17" s="57"/>
      <c r="F17" s="67">
        <v>0</v>
      </c>
      <c r="G17" s="67">
        <v>2.46E-2</v>
      </c>
      <c r="H17" s="72">
        <f t="shared" si="0"/>
        <v>2.46E-2</v>
      </c>
      <c r="I17" s="46">
        <v>36951</v>
      </c>
      <c r="J17" s="64">
        <v>37711</v>
      </c>
      <c r="K17">
        <v>0</v>
      </c>
      <c r="L17">
        <v>306</v>
      </c>
      <c r="M17">
        <v>365</v>
      </c>
      <c r="N17">
        <v>90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ref="W17:AG17" si="15">+K17*$D17</f>
        <v>0</v>
      </c>
      <c r="X17" s="30">
        <f t="shared" si="15"/>
        <v>0</v>
      </c>
      <c r="Y17" s="30">
        <f t="shared" si="15"/>
        <v>0</v>
      </c>
      <c r="Z17" s="30">
        <f t="shared" si="15"/>
        <v>0</v>
      </c>
      <c r="AA17" s="30">
        <f t="shared" si="15"/>
        <v>0</v>
      </c>
      <c r="AB17" s="30">
        <f t="shared" si="15"/>
        <v>0</v>
      </c>
      <c r="AC17" s="30">
        <f t="shared" si="15"/>
        <v>0</v>
      </c>
      <c r="AD17" s="30">
        <f t="shared" si="15"/>
        <v>0</v>
      </c>
      <c r="AE17" s="30">
        <f t="shared" si="15"/>
        <v>0</v>
      </c>
      <c r="AF17" s="30">
        <f t="shared" si="15"/>
        <v>0</v>
      </c>
      <c r="AG17" s="30">
        <f t="shared" si="15"/>
        <v>0</v>
      </c>
      <c r="AI17" s="95">
        <f t="shared" si="14"/>
        <v>0</v>
      </c>
      <c r="AJ17" s="95">
        <f t="shared" si="2"/>
        <v>0</v>
      </c>
      <c r="AK17" s="95">
        <f t="shared" si="2"/>
        <v>0</v>
      </c>
      <c r="AL17" s="95">
        <f t="shared" si="2"/>
        <v>0</v>
      </c>
      <c r="AM17" s="95">
        <f t="shared" si="2"/>
        <v>0</v>
      </c>
      <c r="AN17" s="95">
        <f t="shared" si="2"/>
        <v>0</v>
      </c>
      <c r="AO17" s="95">
        <f t="shared" si="2"/>
        <v>0</v>
      </c>
      <c r="AP17" s="95">
        <f t="shared" si="2"/>
        <v>0</v>
      </c>
      <c r="AQ17" s="95">
        <f t="shared" si="2"/>
        <v>0</v>
      </c>
      <c r="AR17" s="95">
        <f t="shared" si="2"/>
        <v>0</v>
      </c>
      <c r="AS17" s="95">
        <f t="shared" si="2"/>
        <v>0</v>
      </c>
    </row>
    <row r="18" spans="1:45" x14ac:dyDescent="0.2">
      <c r="A18" s="80" t="s">
        <v>93</v>
      </c>
      <c r="B18" s="42" t="s">
        <v>90</v>
      </c>
      <c r="C18" s="59">
        <v>27600</v>
      </c>
      <c r="D18" s="76">
        <v>2500</v>
      </c>
      <c r="E18" s="57" t="s">
        <v>115</v>
      </c>
      <c r="F18" s="67">
        <v>8.0699999999999994E-2</v>
      </c>
      <c r="G18" s="67">
        <v>9.2999999999999992E-3</v>
      </c>
      <c r="H18" s="72">
        <f t="shared" si="0"/>
        <v>0.09</v>
      </c>
      <c r="I18" s="46">
        <v>37043</v>
      </c>
      <c r="J18" s="64">
        <v>37407</v>
      </c>
      <c r="K18">
        <v>0</v>
      </c>
      <c r="L18">
        <v>214</v>
      </c>
      <c r="M18">
        <v>151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30">
        <f t="shared" si="3"/>
        <v>0</v>
      </c>
      <c r="X18" s="30">
        <f t="shared" si="4"/>
        <v>535000</v>
      </c>
      <c r="Y18" s="30">
        <f t="shared" si="5"/>
        <v>377500</v>
      </c>
      <c r="Z18" s="30">
        <f t="shared" si="6"/>
        <v>0</v>
      </c>
      <c r="AA18" s="30">
        <f t="shared" si="7"/>
        <v>0</v>
      </c>
      <c r="AB18" s="30">
        <f t="shared" si="8"/>
        <v>0</v>
      </c>
      <c r="AC18" s="30">
        <f t="shared" si="9"/>
        <v>0</v>
      </c>
      <c r="AD18" s="30">
        <f t="shared" si="10"/>
        <v>0</v>
      </c>
      <c r="AE18" s="30">
        <f t="shared" si="11"/>
        <v>0</v>
      </c>
      <c r="AF18" s="30">
        <f t="shared" si="12"/>
        <v>0</v>
      </c>
      <c r="AG18" s="30">
        <f t="shared" si="13"/>
        <v>0</v>
      </c>
      <c r="AI18" s="95">
        <f t="shared" si="14"/>
        <v>0</v>
      </c>
      <c r="AJ18" s="95">
        <f t="shared" si="2"/>
        <v>48150</v>
      </c>
      <c r="AK18" s="95">
        <f t="shared" si="2"/>
        <v>33975</v>
      </c>
      <c r="AL18" s="95">
        <f t="shared" si="2"/>
        <v>0</v>
      </c>
      <c r="AM18" s="95">
        <f t="shared" si="2"/>
        <v>0</v>
      </c>
      <c r="AN18" s="95">
        <f t="shared" si="2"/>
        <v>0</v>
      </c>
      <c r="AO18" s="95">
        <f t="shared" si="2"/>
        <v>0</v>
      </c>
      <c r="AP18" s="95">
        <f t="shared" si="2"/>
        <v>0</v>
      </c>
      <c r="AQ18" s="95">
        <f t="shared" si="2"/>
        <v>0</v>
      </c>
      <c r="AR18" s="95">
        <f t="shared" si="2"/>
        <v>0</v>
      </c>
      <c r="AS18" s="95">
        <f t="shared" si="2"/>
        <v>0</v>
      </c>
    </row>
    <row r="19" spans="1:45" x14ac:dyDescent="0.2">
      <c r="A19" s="104" t="s">
        <v>93</v>
      </c>
      <c r="B19" s="42" t="s">
        <v>16</v>
      </c>
      <c r="C19" s="59">
        <v>25025</v>
      </c>
      <c r="D19" s="76">
        <v>80000</v>
      </c>
      <c r="E19" s="57" t="s">
        <v>115</v>
      </c>
      <c r="F19" s="67">
        <f>0.1346-0.102</f>
        <v>3.2600000000000004E-2</v>
      </c>
      <c r="G19" s="67">
        <f>0.0104-0.0011</f>
        <v>9.2999999999999992E-3</v>
      </c>
      <c r="H19" s="72">
        <f t="shared" si="0"/>
        <v>4.1900000000000007E-2</v>
      </c>
      <c r="J19" s="64">
        <v>39051</v>
      </c>
      <c r="K19">
        <v>366</v>
      </c>
      <c r="L19">
        <v>365</v>
      </c>
      <c r="M19">
        <v>365</v>
      </c>
      <c r="N19">
        <v>365</v>
      </c>
      <c r="O19">
        <v>366</v>
      </c>
      <c r="P19">
        <v>365</v>
      </c>
      <c r="Q19">
        <v>334</v>
      </c>
      <c r="R19">
        <v>0</v>
      </c>
      <c r="S19">
        <v>0</v>
      </c>
      <c r="T19">
        <v>0</v>
      </c>
      <c r="U19">
        <v>0</v>
      </c>
      <c r="W19" s="30">
        <f t="shared" si="3"/>
        <v>29280000</v>
      </c>
      <c r="X19" s="30">
        <f t="shared" si="4"/>
        <v>29200000</v>
      </c>
      <c r="Y19" s="30">
        <f t="shared" si="5"/>
        <v>29200000</v>
      </c>
      <c r="Z19" s="30">
        <f t="shared" si="6"/>
        <v>29200000</v>
      </c>
      <c r="AA19" s="30">
        <f t="shared" si="7"/>
        <v>29280000</v>
      </c>
      <c r="AB19" s="30">
        <f t="shared" si="8"/>
        <v>29200000</v>
      </c>
      <c r="AC19" s="30">
        <f t="shared" si="9"/>
        <v>26720000</v>
      </c>
      <c r="AD19" s="30">
        <f t="shared" si="10"/>
        <v>0</v>
      </c>
      <c r="AE19" s="30">
        <f t="shared" si="11"/>
        <v>0</v>
      </c>
      <c r="AF19" s="30">
        <f t="shared" si="12"/>
        <v>0</v>
      </c>
      <c r="AG19" s="30">
        <f t="shared" si="13"/>
        <v>0</v>
      </c>
      <c r="AI19" s="95">
        <f t="shared" si="14"/>
        <v>1226832.0000000002</v>
      </c>
      <c r="AJ19" s="95">
        <f t="shared" si="2"/>
        <v>1223480.0000000002</v>
      </c>
      <c r="AK19" s="95">
        <f t="shared" si="2"/>
        <v>1223480.0000000002</v>
      </c>
      <c r="AL19" s="95">
        <f t="shared" si="2"/>
        <v>1223480.0000000002</v>
      </c>
      <c r="AM19" s="95">
        <f t="shared" si="2"/>
        <v>1226832.0000000002</v>
      </c>
      <c r="AN19" s="95">
        <f t="shared" si="2"/>
        <v>1223480.0000000002</v>
      </c>
      <c r="AO19" s="95">
        <f t="shared" si="2"/>
        <v>1119568.0000000002</v>
      </c>
      <c r="AP19" s="95">
        <f t="shared" si="2"/>
        <v>0</v>
      </c>
      <c r="AQ19" s="95">
        <f t="shared" si="2"/>
        <v>0</v>
      </c>
      <c r="AR19" s="95">
        <f t="shared" si="2"/>
        <v>0</v>
      </c>
      <c r="AS19" s="95">
        <f t="shared" si="2"/>
        <v>0</v>
      </c>
    </row>
    <row r="20" spans="1:45" x14ac:dyDescent="0.2">
      <c r="A20" s="80" t="s">
        <v>93</v>
      </c>
      <c r="B20" s="41" t="s">
        <v>16</v>
      </c>
      <c r="C20" s="59">
        <v>25031</v>
      </c>
      <c r="D20" s="76">
        <v>0</v>
      </c>
      <c r="E20" s="57" t="s">
        <v>115</v>
      </c>
      <c r="F20" s="67">
        <v>0.10199999999999999</v>
      </c>
      <c r="G20" s="67">
        <v>1.1000000000000001E-3</v>
      </c>
      <c r="H20" s="72">
        <f t="shared" si="0"/>
        <v>0.1031</v>
      </c>
      <c r="I20" s="46">
        <v>35400</v>
      </c>
      <c r="J20" s="64">
        <v>39051</v>
      </c>
      <c r="K20">
        <v>366</v>
      </c>
      <c r="L20">
        <v>365</v>
      </c>
      <c r="M20">
        <v>365</v>
      </c>
      <c r="N20">
        <v>365</v>
      </c>
      <c r="O20">
        <v>366</v>
      </c>
      <c r="P20">
        <v>365</v>
      </c>
      <c r="Q20">
        <v>334</v>
      </c>
      <c r="R20">
        <v>0</v>
      </c>
      <c r="S20">
        <v>0</v>
      </c>
      <c r="T20">
        <v>0</v>
      </c>
      <c r="U20">
        <v>0</v>
      </c>
      <c r="W20" s="30">
        <f t="shared" si="3"/>
        <v>0</v>
      </c>
      <c r="X20" s="30">
        <f t="shared" si="4"/>
        <v>0</v>
      </c>
      <c r="Y20" s="30">
        <f t="shared" si="5"/>
        <v>0</v>
      </c>
      <c r="Z20" s="30">
        <f t="shared" si="6"/>
        <v>0</v>
      </c>
      <c r="AA20" s="30">
        <f t="shared" si="7"/>
        <v>0</v>
      </c>
      <c r="AB20" s="30">
        <f t="shared" si="8"/>
        <v>0</v>
      </c>
      <c r="AC20" s="30">
        <f t="shared" si="9"/>
        <v>0</v>
      </c>
      <c r="AD20" s="30">
        <f t="shared" si="10"/>
        <v>0</v>
      </c>
      <c r="AE20" s="30">
        <f t="shared" si="11"/>
        <v>0</v>
      </c>
      <c r="AF20" s="30">
        <f t="shared" si="12"/>
        <v>0</v>
      </c>
      <c r="AG20" s="30">
        <f t="shared" si="13"/>
        <v>0</v>
      </c>
      <c r="AI20" s="95">
        <f t="shared" si="14"/>
        <v>0</v>
      </c>
      <c r="AJ20" s="95">
        <f t="shared" si="2"/>
        <v>0</v>
      </c>
      <c r="AK20" s="95">
        <f t="shared" si="2"/>
        <v>0</v>
      </c>
      <c r="AL20" s="95">
        <f t="shared" si="2"/>
        <v>0</v>
      </c>
      <c r="AM20" s="95">
        <f t="shared" si="2"/>
        <v>0</v>
      </c>
      <c r="AN20" s="95">
        <f t="shared" si="2"/>
        <v>0</v>
      </c>
      <c r="AO20" s="95">
        <f t="shared" si="2"/>
        <v>0</v>
      </c>
      <c r="AP20" s="95">
        <f t="shared" si="2"/>
        <v>0</v>
      </c>
      <c r="AQ20" s="95">
        <f t="shared" si="2"/>
        <v>0</v>
      </c>
      <c r="AR20" s="95">
        <f t="shared" si="2"/>
        <v>0</v>
      </c>
      <c r="AS20" s="95">
        <f t="shared" si="2"/>
        <v>0</v>
      </c>
    </row>
    <row r="21" spans="1:45" x14ac:dyDescent="0.2">
      <c r="A21" s="101" t="s">
        <v>93</v>
      </c>
      <c r="B21" s="10" t="s">
        <v>25</v>
      </c>
      <c r="C21" s="56">
        <v>25838</v>
      </c>
      <c r="D21" s="75">
        <v>10475</v>
      </c>
      <c r="E21" s="57" t="s">
        <v>115</v>
      </c>
      <c r="F21" s="69">
        <v>1.0699999999999999E-2</v>
      </c>
      <c r="G21" s="69">
        <v>9.2999999999999992E-3</v>
      </c>
      <c r="H21" s="72">
        <f>+G21+F21</f>
        <v>1.9999999999999997E-2</v>
      </c>
      <c r="I21" s="63"/>
      <c r="J21" s="64">
        <v>36556</v>
      </c>
      <c r="K21">
        <v>31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3"/>
        <v>324725</v>
      </c>
      <c r="X21" s="30">
        <f t="shared" si="4"/>
        <v>0</v>
      </c>
      <c r="Y21" s="30">
        <f t="shared" si="5"/>
        <v>0</v>
      </c>
      <c r="Z21" s="30">
        <f t="shared" si="6"/>
        <v>0</v>
      </c>
      <c r="AA21" s="30">
        <f t="shared" si="7"/>
        <v>0</v>
      </c>
      <c r="AB21" s="30">
        <f t="shared" si="8"/>
        <v>0</v>
      </c>
      <c r="AC21" s="30">
        <f t="shared" si="9"/>
        <v>0</v>
      </c>
      <c r="AD21" s="30">
        <f t="shared" si="10"/>
        <v>0</v>
      </c>
      <c r="AE21" s="30">
        <f t="shared" si="11"/>
        <v>0</v>
      </c>
      <c r="AF21" s="30">
        <f t="shared" si="12"/>
        <v>0</v>
      </c>
      <c r="AG21" s="30">
        <f t="shared" si="13"/>
        <v>0</v>
      </c>
      <c r="AI21" s="95">
        <f t="shared" si="14"/>
        <v>6494.4999999999991</v>
      </c>
      <c r="AJ21" s="95">
        <f t="shared" si="2"/>
        <v>0</v>
      </c>
      <c r="AK21" s="95">
        <f t="shared" si="2"/>
        <v>0</v>
      </c>
      <c r="AL21" s="95">
        <f t="shared" si="2"/>
        <v>0</v>
      </c>
      <c r="AM21" s="95">
        <f t="shared" si="2"/>
        <v>0</v>
      </c>
      <c r="AN21" s="95">
        <f t="shared" si="2"/>
        <v>0</v>
      </c>
      <c r="AO21" s="95">
        <f t="shared" si="2"/>
        <v>0</v>
      </c>
      <c r="AP21" s="95">
        <f t="shared" si="2"/>
        <v>0</v>
      </c>
      <c r="AQ21" s="95">
        <f t="shared" si="2"/>
        <v>0</v>
      </c>
      <c r="AR21" s="95">
        <f t="shared" si="2"/>
        <v>0</v>
      </c>
      <c r="AS21" s="95">
        <f t="shared" si="2"/>
        <v>0</v>
      </c>
    </row>
    <row r="22" spans="1:45" x14ac:dyDescent="0.2">
      <c r="A22" s="101" t="s">
        <v>93</v>
      </c>
      <c r="B22" s="10" t="s">
        <v>25</v>
      </c>
      <c r="C22" s="60">
        <v>26758</v>
      </c>
      <c r="D22" s="75">
        <v>40000</v>
      </c>
      <c r="E22" s="57" t="s">
        <v>115</v>
      </c>
      <c r="F22" s="69">
        <v>1.0699999999999999E-2</v>
      </c>
      <c r="G22" s="69">
        <v>9.2999999999999992E-3</v>
      </c>
      <c r="H22" s="72">
        <f t="shared" si="0"/>
        <v>1.9999999999999997E-2</v>
      </c>
      <c r="I22" s="63">
        <v>36647</v>
      </c>
      <c r="J22" s="64">
        <v>38472</v>
      </c>
      <c r="K22">
        <v>245</v>
      </c>
      <c r="L22">
        <v>365</v>
      </c>
      <c r="M22">
        <v>365</v>
      </c>
      <c r="N22">
        <v>365</v>
      </c>
      <c r="O22">
        <v>366</v>
      </c>
      <c r="P22">
        <v>120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3"/>
        <v>9800000</v>
      </c>
      <c r="X22" s="30">
        <f t="shared" si="4"/>
        <v>14600000</v>
      </c>
      <c r="Y22" s="30">
        <f t="shared" si="5"/>
        <v>14600000</v>
      </c>
      <c r="Z22" s="30">
        <f t="shared" si="6"/>
        <v>14600000</v>
      </c>
      <c r="AA22" s="30">
        <f t="shared" si="7"/>
        <v>14640000</v>
      </c>
      <c r="AB22" s="30">
        <f t="shared" si="8"/>
        <v>4800000</v>
      </c>
      <c r="AC22" s="30">
        <f t="shared" si="9"/>
        <v>0</v>
      </c>
      <c r="AD22" s="30">
        <f t="shared" si="10"/>
        <v>0</v>
      </c>
      <c r="AE22" s="30">
        <f t="shared" si="11"/>
        <v>0</v>
      </c>
      <c r="AF22" s="30">
        <f t="shared" si="12"/>
        <v>0</v>
      </c>
      <c r="AG22" s="30">
        <f t="shared" si="13"/>
        <v>0</v>
      </c>
      <c r="AI22" s="95">
        <f t="shared" si="14"/>
        <v>195999.99999999997</v>
      </c>
      <c r="AJ22" s="95">
        <f t="shared" si="2"/>
        <v>291999.99999999994</v>
      </c>
      <c r="AK22" s="95">
        <f t="shared" si="2"/>
        <v>291999.99999999994</v>
      </c>
      <c r="AL22" s="95">
        <f t="shared" si="2"/>
        <v>291999.99999999994</v>
      </c>
      <c r="AM22" s="95">
        <f t="shared" si="2"/>
        <v>292799.99999999994</v>
      </c>
      <c r="AN22" s="95">
        <f t="shared" si="2"/>
        <v>95999.999999999985</v>
      </c>
      <c r="AO22" s="95">
        <f t="shared" si="2"/>
        <v>0</v>
      </c>
      <c r="AP22" s="95">
        <f t="shared" si="2"/>
        <v>0</v>
      </c>
      <c r="AQ22" s="95">
        <f t="shared" si="2"/>
        <v>0</v>
      </c>
      <c r="AR22" s="95">
        <f t="shared" si="2"/>
        <v>0</v>
      </c>
      <c r="AS22" s="95">
        <f t="shared" si="2"/>
        <v>0</v>
      </c>
    </row>
    <row r="23" spans="1:45" x14ac:dyDescent="0.2">
      <c r="A23" s="80" t="s">
        <v>93</v>
      </c>
      <c r="B23" s="10" t="s">
        <v>25</v>
      </c>
      <c r="C23" s="59">
        <v>27291</v>
      </c>
      <c r="D23" s="76">
        <v>20000</v>
      </c>
      <c r="E23" s="57" t="s">
        <v>115</v>
      </c>
      <c r="F23" s="67">
        <v>1.0699999999999999E-2</v>
      </c>
      <c r="G23" s="67">
        <v>9.2999999999999992E-3</v>
      </c>
      <c r="H23" s="72">
        <f t="shared" si="0"/>
        <v>1.9999999999999997E-2</v>
      </c>
      <c r="I23" s="46">
        <v>36739</v>
      </c>
      <c r="J23" s="64">
        <v>37468</v>
      </c>
      <c r="K23">
        <v>153</v>
      </c>
      <c r="L23">
        <v>365</v>
      </c>
      <c r="M23">
        <v>212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3"/>
        <v>3060000</v>
      </c>
      <c r="X23" s="30">
        <f t="shared" si="4"/>
        <v>7300000</v>
      </c>
      <c r="Y23" s="30">
        <f t="shared" si="5"/>
        <v>4240000</v>
      </c>
      <c r="Z23" s="30">
        <f t="shared" si="6"/>
        <v>0</v>
      </c>
      <c r="AA23" s="30">
        <f t="shared" si="7"/>
        <v>0</v>
      </c>
      <c r="AB23" s="30">
        <f t="shared" si="8"/>
        <v>0</v>
      </c>
      <c r="AC23" s="30">
        <f t="shared" si="9"/>
        <v>0</v>
      </c>
      <c r="AD23" s="30">
        <f t="shared" si="10"/>
        <v>0</v>
      </c>
      <c r="AE23" s="30">
        <f t="shared" si="11"/>
        <v>0</v>
      </c>
      <c r="AF23" s="30">
        <f t="shared" si="12"/>
        <v>0</v>
      </c>
      <c r="AG23" s="30">
        <f t="shared" si="13"/>
        <v>0</v>
      </c>
      <c r="AI23" s="95">
        <f t="shared" si="14"/>
        <v>61199.999999999993</v>
      </c>
      <c r="AJ23" s="95">
        <f t="shared" si="2"/>
        <v>145999.99999999997</v>
      </c>
      <c r="AK23" s="95">
        <f t="shared" si="2"/>
        <v>84799.999999999985</v>
      </c>
      <c r="AL23" s="95">
        <f t="shared" si="2"/>
        <v>0</v>
      </c>
      <c r="AM23" s="95">
        <f t="shared" si="2"/>
        <v>0</v>
      </c>
      <c r="AN23" s="95">
        <f t="shared" si="2"/>
        <v>0</v>
      </c>
      <c r="AO23" s="95">
        <f t="shared" si="2"/>
        <v>0</v>
      </c>
      <c r="AP23" s="95">
        <f t="shared" si="2"/>
        <v>0</v>
      </c>
      <c r="AQ23" s="95">
        <f t="shared" si="2"/>
        <v>0</v>
      </c>
      <c r="AR23" s="95">
        <f t="shared" si="2"/>
        <v>0</v>
      </c>
      <c r="AS23" s="95">
        <f t="shared" si="2"/>
        <v>0</v>
      </c>
    </row>
    <row r="24" spans="1:45" x14ac:dyDescent="0.2">
      <c r="A24" s="80" t="s">
        <v>93</v>
      </c>
      <c r="B24" s="42" t="s">
        <v>25</v>
      </c>
      <c r="C24" s="59">
        <v>27349</v>
      </c>
      <c r="D24" s="76">
        <v>20000</v>
      </c>
      <c r="E24" s="57" t="s">
        <v>115</v>
      </c>
      <c r="F24" s="67">
        <v>4.07E-2</v>
      </c>
      <c r="G24" s="67">
        <v>9.2999999999999992E-3</v>
      </c>
      <c r="H24" s="72">
        <f t="shared" si="0"/>
        <v>0.05</v>
      </c>
      <c r="I24" s="46">
        <v>36892</v>
      </c>
      <c r="J24" s="64">
        <v>38717</v>
      </c>
      <c r="K24">
        <v>0</v>
      </c>
      <c r="L24">
        <v>365</v>
      </c>
      <c r="M24">
        <v>365</v>
      </c>
      <c r="N24">
        <v>365</v>
      </c>
      <c r="O24">
        <v>366</v>
      </c>
      <c r="P24">
        <v>365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3"/>
        <v>0</v>
      </c>
      <c r="X24" s="30">
        <f t="shared" si="4"/>
        <v>7300000</v>
      </c>
      <c r="Y24" s="30">
        <f t="shared" si="5"/>
        <v>7300000</v>
      </c>
      <c r="Z24" s="30">
        <f t="shared" si="6"/>
        <v>7300000</v>
      </c>
      <c r="AA24" s="30">
        <f t="shared" si="7"/>
        <v>7320000</v>
      </c>
      <c r="AB24" s="30">
        <f t="shared" si="8"/>
        <v>7300000</v>
      </c>
      <c r="AC24" s="30">
        <f t="shared" si="9"/>
        <v>0</v>
      </c>
      <c r="AD24" s="30">
        <f t="shared" si="10"/>
        <v>0</v>
      </c>
      <c r="AE24" s="30">
        <f t="shared" si="11"/>
        <v>0</v>
      </c>
      <c r="AF24" s="30">
        <f t="shared" si="12"/>
        <v>0</v>
      </c>
      <c r="AG24" s="30">
        <f t="shared" si="13"/>
        <v>0</v>
      </c>
      <c r="AI24" s="95">
        <f t="shared" si="14"/>
        <v>0</v>
      </c>
      <c r="AJ24" s="95">
        <f t="shared" si="2"/>
        <v>365000</v>
      </c>
      <c r="AK24" s="95">
        <f t="shared" si="2"/>
        <v>365000</v>
      </c>
      <c r="AL24" s="95">
        <f t="shared" si="2"/>
        <v>365000</v>
      </c>
      <c r="AM24" s="95">
        <f t="shared" si="2"/>
        <v>366000</v>
      </c>
      <c r="AN24" s="95">
        <f t="shared" si="2"/>
        <v>365000</v>
      </c>
      <c r="AO24" s="95">
        <f t="shared" si="2"/>
        <v>0</v>
      </c>
      <c r="AP24" s="95">
        <f t="shared" si="2"/>
        <v>0</v>
      </c>
      <c r="AQ24" s="95">
        <f t="shared" si="2"/>
        <v>0</v>
      </c>
      <c r="AR24" s="95">
        <f t="shared" si="2"/>
        <v>0</v>
      </c>
      <c r="AS24" s="95">
        <f t="shared" si="2"/>
        <v>0</v>
      </c>
    </row>
    <row r="25" spans="1:45" x14ac:dyDescent="0.2">
      <c r="A25" s="80" t="s">
        <v>93</v>
      </c>
      <c r="B25" s="42" t="s">
        <v>25</v>
      </c>
      <c r="C25" s="59">
        <v>27579</v>
      </c>
      <c r="D25" s="76">
        <v>20000</v>
      </c>
      <c r="E25" s="57" t="s">
        <v>115</v>
      </c>
      <c r="F25" s="67">
        <v>5.0700000000000002E-2</v>
      </c>
      <c r="G25" s="67">
        <v>9.2999999999999992E-3</v>
      </c>
      <c r="H25" s="72">
        <f t="shared" si="0"/>
        <v>0.06</v>
      </c>
      <c r="I25" s="46">
        <v>37012</v>
      </c>
      <c r="J25" s="64">
        <v>37407</v>
      </c>
      <c r="K25">
        <v>0</v>
      </c>
      <c r="L25">
        <v>245</v>
      </c>
      <c r="M25">
        <v>151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3"/>
        <v>0</v>
      </c>
      <c r="X25" s="30">
        <f t="shared" si="4"/>
        <v>4900000</v>
      </c>
      <c r="Y25" s="30">
        <f t="shared" si="5"/>
        <v>3020000</v>
      </c>
      <c r="Z25" s="30">
        <f t="shared" si="6"/>
        <v>0</v>
      </c>
      <c r="AA25" s="30">
        <f t="shared" si="7"/>
        <v>0</v>
      </c>
      <c r="AB25" s="30">
        <f t="shared" si="8"/>
        <v>0</v>
      </c>
      <c r="AC25" s="30">
        <f t="shared" si="9"/>
        <v>0</v>
      </c>
      <c r="AD25" s="30">
        <f t="shared" si="10"/>
        <v>0</v>
      </c>
      <c r="AE25" s="30">
        <f t="shared" si="11"/>
        <v>0</v>
      </c>
      <c r="AF25" s="30">
        <f t="shared" si="12"/>
        <v>0</v>
      </c>
      <c r="AG25" s="30">
        <f t="shared" si="13"/>
        <v>0</v>
      </c>
      <c r="AI25" s="95">
        <f t="shared" si="14"/>
        <v>0</v>
      </c>
      <c r="AJ25" s="95">
        <f t="shared" si="2"/>
        <v>294000</v>
      </c>
      <c r="AK25" s="95">
        <f t="shared" si="2"/>
        <v>181200</v>
      </c>
      <c r="AL25" s="95">
        <f t="shared" si="2"/>
        <v>0</v>
      </c>
      <c r="AM25" s="95">
        <f t="shared" si="2"/>
        <v>0</v>
      </c>
      <c r="AN25" s="95">
        <f t="shared" si="2"/>
        <v>0</v>
      </c>
      <c r="AO25" s="95">
        <f t="shared" si="2"/>
        <v>0</v>
      </c>
      <c r="AP25" s="95">
        <f t="shared" si="2"/>
        <v>0</v>
      </c>
      <c r="AQ25" s="95">
        <f t="shared" si="2"/>
        <v>0</v>
      </c>
      <c r="AR25" s="95">
        <f t="shared" si="2"/>
        <v>0</v>
      </c>
      <c r="AS25" s="95">
        <f t="shared" si="2"/>
        <v>0</v>
      </c>
    </row>
    <row r="26" spans="1:45" x14ac:dyDescent="0.2">
      <c r="A26" s="80" t="s">
        <v>93</v>
      </c>
      <c r="B26" s="41" t="s">
        <v>83</v>
      </c>
      <c r="C26" s="59">
        <v>24754</v>
      </c>
      <c r="D26" s="76">
        <v>1000</v>
      </c>
      <c r="E26" s="57" t="s">
        <v>119</v>
      </c>
      <c r="F26" s="67">
        <v>9.0700000000000003E-2</v>
      </c>
      <c r="G26" s="67">
        <v>9.2999999999999992E-3</v>
      </c>
      <c r="H26" s="72">
        <f t="shared" si="0"/>
        <v>0.1</v>
      </c>
      <c r="I26" s="46" t="s">
        <v>92</v>
      </c>
      <c r="J26" s="64">
        <v>38472</v>
      </c>
      <c r="K26">
        <v>366</v>
      </c>
      <c r="L26">
        <v>365</v>
      </c>
      <c r="M26">
        <v>365</v>
      </c>
      <c r="N26">
        <v>365</v>
      </c>
      <c r="O26">
        <v>366</v>
      </c>
      <c r="P26">
        <v>120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3"/>
        <v>366000</v>
      </c>
      <c r="X26" s="30">
        <f t="shared" si="4"/>
        <v>365000</v>
      </c>
      <c r="Y26" s="30">
        <f t="shared" si="5"/>
        <v>365000</v>
      </c>
      <c r="Z26" s="30">
        <f t="shared" si="6"/>
        <v>365000</v>
      </c>
      <c r="AA26" s="30">
        <f t="shared" si="7"/>
        <v>366000</v>
      </c>
      <c r="AB26" s="30">
        <f t="shared" si="8"/>
        <v>120000</v>
      </c>
      <c r="AC26" s="30">
        <f t="shared" si="9"/>
        <v>0</v>
      </c>
      <c r="AD26" s="30">
        <f t="shared" si="10"/>
        <v>0</v>
      </c>
      <c r="AE26" s="30">
        <f t="shared" si="11"/>
        <v>0</v>
      </c>
      <c r="AF26" s="30">
        <f t="shared" si="12"/>
        <v>0</v>
      </c>
      <c r="AG26" s="30">
        <f t="shared" si="13"/>
        <v>0</v>
      </c>
      <c r="AI26" s="95">
        <f t="shared" si="14"/>
        <v>36600</v>
      </c>
      <c r="AJ26" s="95">
        <f t="shared" si="2"/>
        <v>36500</v>
      </c>
      <c r="AK26" s="95">
        <f t="shared" si="2"/>
        <v>36500</v>
      </c>
      <c r="AL26" s="95">
        <f t="shared" si="2"/>
        <v>36500</v>
      </c>
      <c r="AM26" s="95">
        <f t="shared" si="2"/>
        <v>36600</v>
      </c>
      <c r="AN26" s="95">
        <f t="shared" si="2"/>
        <v>12000</v>
      </c>
      <c r="AO26" s="95">
        <f t="shared" si="2"/>
        <v>0</v>
      </c>
      <c r="AP26" s="95">
        <f t="shared" si="2"/>
        <v>0</v>
      </c>
      <c r="AQ26" s="95">
        <f t="shared" si="2"/>
        <v>0</v>
      </c>
      <c r="AR26" s="95">
        <f t="shared" si="2"/>
        <v>0</v>
      </c>
      <c r="AS26" s="95">
        <f t="shared" si="2"/>
        <v>0</v>
      </c>
    </row>
    <row r="27" spans="1:45" x14ac:dyDescent="0.2">
      <c r="A27" s="105" t="s">
        <v>93</v>
      </c>
      <c r="B27" s="42" t="s">
        <v>21</v>
      </c>
      <c r="C27" s="59">
        <v>24654</v>
      </c>
      <c r="D27" s="76">
        <v>8000</v>
      </c>
      <c r="E27" s="57" t="s">
        <v>115</v>
      </c>
      <c r="F27" s="67">
        <v>3.5000000000000003E-2</v>
      </c>
      <c r="G27" s="67">
        <v>9.2999999999999992E-3</v>
      </c>
      <c r="H27" s="72">
        <f t="shared" si="0"/>
        <v>4.4300000000000006E-2</v>
      </c>
      <c r="J27" s="64">
        <v>37256</v>
      </c>
      <c r="K27">
        <v>366</v>
      </c>
      <c r="L27">
        <v>365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3"/>
        <v>2928000</v>
      </c>
      <c r="X27" s="30">
        <f t="shared" si="4"/>
        <v>2920000</v>
      </c>
      <c r="Y27" s="30">
        <f t="shared" si="5"/>
        <v>0</v>
      </c>
      <c r="Z27" s="30">
        <f t="shared" si="6"/>
        <v>0</v>
      </c>
      <c r="AA27" s="30">
        <f t="shared" si="7"/>
        <v>0</v>
      </c>
      <c r="AB27" s="30">
        <f t="shared" si="8"/>
        <v>0</v>
      </c>
      <c r="AC27" s="30">
        <f t="shared" si="9"/>
        <v>0</v>
      </c>
      <c r="AD27" s="30">
        <f t="shared" si="10"/>
        <v>0</v>
      </c>
      <c r="AE27" s="30">
        <f t="shared" si="11"/>
        <v>0</v>
      </c>
      <c r="AF27" s="30">
        <f t="shared" si="12"/>
        <v>0</v>
      </c>
      <c r="AG27" s="30">
        <f t="shared" si="13"/>
        <v>0</v>
      </c>
      <c r="AI27" s="95">
        <f t="shared" si="14"/>
        <v>129710.40000000002</v>
      </c>
      <c r="AJ27" s="95">
        <f t="shared" ref="AJ27:AJ50" si="16">+X27*($F27+$G27)</f>
        <v>129356.00000000001</v>
      </c>
      <c r="AK27" s="95">
        <f t="shared" ref="AK27:AK50" si="17">+Y27*($F27+$G27)</f>
        <v>0</v>
      </c>
      <c r="AL27" s="95">
        <f t="shared" ref="AL27:AL50" si="18">+Z27*($F27+$G27)</f>
        <v>0</v>
      </c>
      <c r="AM27" s="95">
        <f t="shared" ref="AM27:AM50" si="19">+AA27*($F27+$G27)</f>
        <v>0</v>
      </c>
      <c r="AN27" s="95">
        <f t="shared" ref="AN27:AN50" si="20">+AB27*($F27+$G27)</f>
        <v>0</v>
      </c>
      <c r="AO27" s="95">
        <f t="shared" ref="AO27:AO50" si="21">+AC27*($F27+$G27)</f>
        <v>0</v>
      </c>
      <c r="AP27" s="95">
        <f t="shared" ref="AP27:AP50" si="22">+AD27*($F27+$G27)</f>
        <v>0</v>
      </c>
      <c r="AQ27" s="95">
        <f t="shared" ref="AQ27:AQ50" si="23">+AE27*($F27+$G27)</f>
        <v>0</v>
      </c>
      <c r="AR27" s="95">
        <f t="shared" ref="AR27:AR50" si="24">+AF27*($F27+$G27)</f>
        <v>0</v>
      </c>
      <c r="AS27" s="95">
        <f t="shared" ref="AS27:AS50" si="25">+AG27*($F27+$G27)</f>
        <v>0</v>
      </c>
    </row>
    <row r="28" spans="1:45" x14ac:dyDescent="0.2">
      <c r="A28" s="80" t="s">
        <v>93</v>
      </c>
      <c r="B28" s="41" t="s">
        <v>21</v>
      </c>
      <c r="C28" s="59">
        <v>26740</v>
      </c>
      <c r="D28" s="76">
        <v>8000</v>
      </c>
      <c r="E28" s="57" t="s">
        <v>115</v>
      </c>
      <c r="F28" s="67">
        <v>4.07E-2</v>
      </c>
      <c r="G28" s="67">
        <v>9.2999999999999992E-3</v>
      </c>
      <c r="H28" s="72">
        <f t="shared" si="0"/>
        <v>0.05</v>
      </c>
      <c r="I28" s="46">
        <v>36312</v>
      </c>
      <c r="J28" s="64">
        <v>39113</v>
      </c>
      <c r="K28">
        <v>366</v>
      </c>
      <c r="L28">
        <v>365</v>
      </c>
      <c r="M28">
        <v>365</v>
      </c>
      <c r="N28">
        <v>365</v>
      </c>
      <c r="O28">
        <v>366</v>
      </c>
      <c r="P28">
        <v>365</v>
      </c>
      <c r="Q28">
        <v>365</v>
      </c>
      <c r="R28">
        <v>31</v>
      </c>
      <c r="S28">
        <v>0</v>
      </c>
      <c r="T28">
        <v>0</v>
      </c>
      <c r="U28">
        <v>0</v>
      </c>
      <c r="W28" s="30">
        <f t="shared" si="3"/>
        <v>2928000</v>
      </c>
      <c r="X28" s="30">
        <f t="shared" si="4"/>
        <v>2920000</v>
      </c>
      <c r="Y28" s="30">
        <f t="shared" si="5"/>
        <v>2920000</v>
      </c>
      <c r="Z28" s="30">
        <f t="shared" si="6"/>
        <v>2920000</v>
      </c>
      <c r="AA28" s="30">
        <f t="shared" si="7"/>
        <v>2928000</v>
      </c>
      <c r="AB28" s="30">
        <f t="shared" si="8"/>
        <v>2920000</v>
      </c>
      <c r="AC28" s="30">
        <f t="shared" si="9"/>
        <v>2920000</v>
      </c>
      <c r="AD28" s="30">
        <f t="shared" si="10"/>
        <v>248000</v>
      </c>
      <c r="AE28" s="30">
        <f t="shared" si="11"/>
        <v>0</v>
      </c>
      <c r="AF28" s="30">
        <f t="shared" si="12"/>
        <v>0</v>
      </c>
      <c r="AG28" s="30">
        <f t="shared" si="13"/>
        <v>0</v>
      </c>
      <c r="AI28" s="95">
        <f t="shared" si="14"/>
        <v>146400</v>
      </c>
      <c r="AJ28" s="95">
        <f t="shared" si="16"/>
        <v>146000</v>
      </c>
      <c r="AK28" s="95">
        <f t="shared" si="17"/>
        <v>146000</v>
      </c>
      <c r="AL28" s="95">
        <f t="shared" si="18"/>
        <v>146000</v>
      </c>
      <c r="AM28" s="95">
        <f t="shared" si="19"/>
        <v>146400</v>
      </c>
      <c r="AN28" s="95">
        <f t="shared" si="20"/>
        <v>146000</v>
      </c>
      <c r="AO28" s="95">
        <f t="shared" si="21"/>
        <v>146000</v>
      </c>
      <c r="AP28" s="95">
        <f t="shared" si="22"/>
        <v>12400</v>
      </c>
      <c r="AQ28" s="95">
        <f t="shared" si="23"/>
        <v>0</v>
      </c>
      <c r="AR28" s="95">
        <f t="shared" si="24"/>
        <v>0</v>
      </c>
      <c r="AS28" s="95">
        <f t="shared" si="25"/>
        <v>0</v>
      </c>
    </row>
    <row r="29" spans="1:45" x14ac:dyDescent="0.2">
      <c r="A29" s="105" t="s">
        <v>93</v>
      </c>
      <c r="B29" s="42" t="s">
        <v>94</v>
      </c>
      <c r="C29" s="59">
        <v>24568</v>
      </c>
      <c r="D29" s="76">
        <v>32000</v>
      </c>
      <c r="E29" s="57" t="s">
        <v>115</v>
      </c>
      <c r="F29" s="67">
        <v>3.5000000000000003E-2</v>
      </c>
      <c r="G29" s="67">
        <v>9.2999999999999992E-3</v>
      </c>
      <c r="H29" s="72">
        <f t="shared" si="0"/>
        <v>4.4300000000000006E-2</v>
      </c>
      <c r="J29" s="64">
        <v>37256</v>
      </c>
      <c r="K29">
        <v>366</v>
      </c>
      <c r="L29">
        <v>365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3"/>
        <v>11712000</v>
      </c>
      <c r="X29" s="30">
        <f t="shared" si="4"/>
        <v>11680000</v>
      </c>
      <c r="Y29" s="30">
        <f t="shared" si="5"/>
        <v>0</v>
      </c>
      <c r="Z29" s="30">
        <f t="shared" si="6"/>
        <v>0</v>
      </c>
      <c r="AA29" s="30">
        <f t="shared" si="7"/>
        <v>0</v>
      </c>
      <c r="AB29" s="30">
        <f t="shared" si="8"/>
        <v>0</v>
      </c>
      <c r="AC29" s="30">
        <f t="shared" si="9"/>
        <v>0</v>
      </c>
      <c r="AD29" s="30">
        <f t="shared" si="10"/>
        <v>0</v>
      </c>
      <c r="AE29" s="30">
        <f t="shared" si="11"/>
        <v>0</v>
      </c>
      <c r="AF29" s="30">
        <f t="shared" si="12"/>
        <v>0</v>
      </c>
      <c r="AG29" s="30">
        <f t="shared" si="13"/>
        <v>0</v>
      </c>
      <c r="AI29" s="95">
        <f t="shared" si="14"/>
        <v>518841.60000000009</v>
      </c>
      <c r="AJ29" s="95">
        <f t="shared" si="16"/>
        <v>517424.00000000006</v>
      </c>
      <c r="AK29" s="95">
        <f t="shared" si="17"/>
        <v>0</v>
      </c>
      <c r="AL29" s="95">
        <f t="shared" si="18"/>
        <v>0</v>
      </c>
      <c r="AM29" s="95">
        <f t="shared" si="19"/>
        <v>0</v>
      </c>
      <c r="AN29" s="95">
        <f t="shared" si="20"/>
        <v>0</v>
      </c>
      <c r="AO29" s="95">
        <f t="shared" si="21"/>
        <v>0</v>
      </c>
      <c r="AP29" s="95">
        <f t="shared" si="22"/>
        <v>0</v>
      </c>
      <c r="AQ29" s="95">
        <f t="shared" si="23"/>
        <v>0</v>
      </c>
      <c r="AR29" s="95">
        <f t="shared" si="24"/>
        <v>0</v>
      </c>
      <c r="AS29" s="95">
        <f t="shared" si="25"/>
        <v>0</v>
      </c>
    </row>
    <row r="30" spans="1:45" x14ac:dyDescent="0.2">
      <c r="A30" s="101" t="s">
        <v>93</v>
      </c>
      <c r="B30" s="10" t="s">
        <v>27</v>
      </c>
      <c r="C30" s="56">
        <v>25847</v>
      </c>
      <c r="D30" s="75">
        <v>20000</v>
      </c>
      <c r="E30" s="57" t="s">
        <v>115</v>
      </c>
      <c r="F30" s="69">
        <v>4.07E-2</v>
      </c>
      <c r="G30" s="69">
        <v>9.2999999999999992E-3</v>
      </c>
      <c r="H30" s="72">
        <f t="shared" si="0"/>
        <v>0.05</v>
      </c>
      <c r="I30" s="63"/>
      <c r="J30" s="64">
        <v>36556</v>
      </c>
      <c r="K30">
        <v>31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3"/>
        <v>620000</v>
      </c>
      <c r="X30" s="30">
        <f t="shared" si="4"/>
        <v>0</v>
      </c>
      <c r="Y30" s="30">
        <f t="shared" si="5"/>
        <v>0</v>
      </c>
      <c r="Z30" s="30">
        <f t="shared" si="6"/>
        <v>0</v>
      </c>
      <c r="AA30" s="30">
        <f t="shared" si="7"/>
        <v>0</v>
      </c>
      <c r="AB30" s="30">
        <f t="shared" si="8"/>
        <v>0</v>
      </c>
      <c r="AC30" s="30">
        <f t="shared" si="9"/>
        <v>0</v>
      </c>
      <c r="AD30" s="30">
        <f t="shared" si="10"/>
        <v>0</v>
      </c>
      <c r="AE30" s="30">
        <f t="shared" si="11"/>
        <v>0</v>
      </c>
      <c r="AF30" s="30">
        <f t="shared" si="12"/>
        <v>0</v>
      </c>
      <c r="AG30" s="30">
        <f t="shared" si="13"/>
        <v>0</v>
      </c>
      <c r="AI30" s="95">
        <f t="shared" si="14"/>
        <v>31000</v>
      </c>
      <c r="AJ30" s="95">
        <f t="shared" si="16"/>
        <v>0</v>
      </c>
      <c r="AK30" s="95">
        <f t="shared" si="17"/>
        <v>0</v>
      </c>
      <c r="AL30" s="95">
        <f t="shared" si="18"/>
        <v>0</v>
      </c>
      <c r="AM30" s="95">
        <f t="shared" si="19"/>
        <v>0</v>
      </c>
      <c r="AN30" s="95">
        <f t="shared" si="20"/>
        <v>0</v>
      </c>
      <c r="AO30" s="95">
        <f t="shared" si="21"/>
        <v>0</v>
      </c>
      <c r="AP30" s="95">
        <f t="shared" si="22"/>
        <v>0</v>
      </c>
      <c r="AQ30" s="95">
        <f t="shared" si="23"/>
        <v>0</v>
      </c>
      <c r="AR30" s="95">
        <f t="shared" si="24"/>
        <v>0</v>
      </c>
      <c r="AS30" s="95">
        <f t="shared" si="25"/>
        <v>0</v>
      </c>
    </row>
    <row r="31" spans="1:45" x14ac:dyDescent="0.2">
      <c r="A31" s="80" t="s">
        <v>93</v>
      </c>
      <c r="B31" s="42" t="s">
        <v>84</v>
      </c>
      <c r="C31" s="59">
        <v>25374</v>
      </c>
      <c r="D31" s="76">
        <v>23000</v>
      </c>
      <c r="E31" s="57" t="s">
        <v>119</v>
      </c>
      <c r="F31" s="67">
        <v>4.07E-2</v>
      </c>
      <c r="G31" s="67">
        <v>9.2999999999999992E-3</v>
      </c>
      <c r="H31" s="72">
        <f t="shared" si="0"/>
        <v>0.05</v>
      </c>
      <c r="I31" s="46">
        <v>35947</v>
      </c>
      <c r="J31" s="64">
        <v>37103</v>
      </c>
      <c r="K31">
        <v>366</v>
      </c>
      <c r="L31">
        <v>212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3"/>
        <v>8418000</v>
      </c>
      <c r="X31" s="30">
        <f t="shared" si="4"/>
        <v>4876000</v>
      </c>
      <c r="Y31" s="30">
        <f t="shared" si="5"/>
        <v>0</v>
      </c>
      <c r="Z31" s="30">
        <f t="shared" si="6"/>
        <v>0</v>
      </c>
      <c r="AA31" s="30">
        <f t="shared" si="7"/>
        <v>0</v>
      </c>
      <c r="AB31" s="30">
        <f t="shared" si="8"/>
        <v>0</v>
      </c>
      <c r="AC31" s="30">
        <f t="shared" si="9"/>
        <v>0</v>
      </c>
      <c r="AD31" s="30">
        <f t="shared" si="10"/>
        <v>0</v>
      </c>
      <c r="AE31" s="30">
        <f t="shared" si="11"/>
        <v>0</v>
      </c>
      <c r="AF31" s="30">
        <f t="shared" si="12"/>
        <v>0</v>
      </c>
      <c r="AG31" s="30">
        <f t="shared" si="13"/>
        <v>0</v>
      </c>
      <c r="AI31" s="95">
        <f t="shared" si="14"/>
        <v>420900</v>
      </c>
      <c r="AJ31" s="95">
        <f t="shared" si="16"/>
        <v>243800</v>
      </c>
      <c r="AK31" s="95">
        <f t="shared" si="17"/>
        <v>0</v>
      </c>
      <c r="AL31" s="95">
        <f t="shared" si="18"/>
        <v>0</v>
      </c>
      <c r="AM31" s="95">
        <f t="shared" si="19"/>
        <v>0</v>
      </c>
      <c r="AN31" s="95">
        <f t="shared" si="20"/>
        <v>0</v>
      </c>
      <c r="AO31" s="95">
        <f t="shared" si="21"/>
        <v>0</v>
      </c>
      <c r="AP31" s="95">
        <f t="shared" si="22"/>
        <v>0</v>
      </c>
      <c r="AQ31" s="95">
        <f t="shared" si="23"/>
        <v>0</v>
      </c>
      <c r="AR31" s="95">
        <f t="shared" si="24"/>
        <v>0</v>
      </c>
      <c r="AS31" s="95">
        <f t="shared" si="25"/>
        <v>0</v>
      </c>
    </row>
    <row r="32" spans="1:45" x14ac:dyDescent="0.2">
      <c r="A32" s="101" t="s">
        <v>93</v>
      </c>
      <c r="B32" s="10" t="s">
        <v>107</v>
      </c>
      <c r="C32" s="56">
        <v>26635</v>
      </c>
      <c r="D32" s="75">
        <v>500</v>
      </c>
      <c r="E32" s="56" t="s">
        <v>118</v>
      </c>
      <c r="F32" s="69">
        <v>0.10199999999999999</v>
      </c>
      <c r="G32" s="69">
        <v>7.1000000000000004E-3</v>
      </c>
      <c r="H32" s="72">
        <f t="shared" si="0"/>
        <v>0.10909999999999999</v>
      </c>
      <c r="I32" s="63">
        <v>36192</v>
      </c>
      <c r="J32" s="64">
        <v>37256</v>
      </c>
      <c r="K32">
        <v>334</v>
      </c>
      <c r="L32">
        <v>365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3"/>
        <v>167000</v>
      </c>
      <c r="X32" s="30">
        <f t="shared" si="4"/>
        <v>182500</v>
      </c>
      <c r="Y32" s="30">
        <f t="shared" si="5"/>
        <v>0</v>
      </c>
      <c r="Z32" s="30">
        <f t="shared" si="6"/>
        <v>0</v>
      </c>
      <c r="AA32" s="30">
        <f t="shared" si="7"/>
        <v>0</v>
      </c>
      <c r="AB32" s="30">
        <f t="shared" si="8"/>
        <v>0</v>
      </c>
      <c r="AC32" s="30">
        <f t="shared" si="9"/>
        <v>0</v>
      </c>
      <c r="AD32" s="30">
        <f t="shared" si="10"/>
        <v>0</v>
      </c>
      <c r="AE32" s="30">
        <f t="shared" si="11"/>
        <v>0</v>
      </c>
      <c r="AF32" s="30">
        <f t="shared" si="12"/>
        <v>0</v>
      </c>
      <c r="AG32" s="30">
        <f t="shared" si="13"/>
        <v>0</v>
      </c>
      <c r="AI32" s="95">
        <f t="shared" si="14"/>
        <v>18219.699999999997</v>
      </c>
      <c r="AJ32" s="95">
        <f t="shared" si="16"/>
        <v>19910.749999999996</v>
      </c>
      <c r="AK32" s="95">
        <f t="shared" si="17"/>
        <v>0</v>
      </c>
      <c r="AL32" s="95">
        <f t="shared" si="18"/>
        <v>0</v>
      </c>
      <c r="AM32" s="95">
        <f t="shared" si="19"/>
        <v>0</v>
      </c>
      <c r="AN32" s="95">
        <f t="shared" si="20"/>
        <v>0</v>
      </c>
      <c r="AO32" s="95">
        <f t="shared" si="21"/>
        <v>0</v>
      </c>
      <c r="AP32" s="95">
        <f t="shared" si="22"/>
        <v>0</v>
      </c>
      <c r="AQ32" s="95">
        <f t="shared" si="23"/>
        <v>0</v>
      </c>
      <c r="AR32" s="95">
        <f t="shared" si="24"/>
        <v>0</v>
      </c>
      <c r="AS32" s="95">
        <f t="shared" si="25"/>
        <v>0</v>
      </c>
    </row>
    <row r="33" spans="1:45" x14ac:dyDescent="0.2">
      <c r="A33" s="80" t="s">
        <v>93</v>
      </c>
      <c r="B33" s="41" t="s">
        <v>86</v>
      </c>
      <c r="C33" s="59">
        <v>27104</v>
      </c>
      <c r="D33" s="76">
        <v>14032</v>
      </c>
      <c r="E33" s="57" t="s">
        <v>115</v>
      </c>
      <c r="F33" s="67">
        <v>4.07E-2</v>
      </c>
      <c r="G33" s="67">
        <v>9.2999999999999992E-3</v>
      </c>
      <c r="H33" s="72">
        <f t="shared" si="0"/>
        <v>0.05</v>
      </c>
      <c r="I33" s="46">
        <v>36557</v>
      </c>
      <c r="J33" s="64">
        <v>38383</v>
      </c>
      <c r="K33">
        <v>335</v>
      </c>
      <c r="L33">
        <v>365</v>
      </c>
      <c r="M33">
        <v>365</v>
      </c>
      <c r="N33">
        <v>365</v>
      </c>
      <c r="O33">
        <v>366</v>
      </c>
      <c r="P33">
        <v>31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3"/>
        <v>4700720</v>
      </c>
      <c r="X33" s="30">
        <f t="shared" si="4"/>
        <v>5121680</v>
      </c>
      <c r="Y33" s="30">
        <f t="shared" si="5"/>
        <v>5121680</v>
      </c>
      <c r="Z33" s="30">
        <f t="shared" si="6"/>
        <v>5121680</v>
      </c>
      <c r="AA33" s="30">
        <f t="shared" si="7"/>
        <v>5135712</v>
      </c>
      <c r="AB33" s="30">
        <f t="shared" si="8"/>
        <v>434992</v>
      </c>
      <c r="AC33" s="30">
        <f t="shared" si="9"/>
        <v>0</v>
      </c>
      <c r="AD33" s="30">
        <f t="shared" si="10"/>
        <v>0</v>
      </c>
      <c r="AE33" s="30">
        <f t="shared" si="11"/>
        <v>0</v>
      </c>
      <c r="AF33" s="30">
        <f t="shared" si="12"/>
        <v>0</v>
      </c>
      <c r="AG33" s="30">
        <f t="shared" si="13"/>
        <v>0</v>
      </c>
      <c r="AI33" s="95">
        <f t="shared" si="14"/>
        <v>235036</v>
      </c>
      <c r="AJ33" s="95">
        <f t="shared" si="16"/>
        <v>256084</v>
      </c>
      <c r="AK33" s="95">
        <f t="shared" si="17"/>
        <v>256084</v>
      </c>
      <c r="AL33" s="95">
        <f t="shared" si="18"/>
        <v>256084</v>
      </c>
      <c r="AM33" s="95">
        <f t="shared" si="19"/>
        <v>256785.6</v>
      </c>
      <c r="AN33" s="95">
        <f t="shared" si="20"/>
        <v>21749.600000000002</v>
      </c>
      <c r="AO33" s="95">
        <f t="shared" si="21"/>
        <v>0</v>
      </c>
      <c r="AP33" s="95">
        <f t="shared" si="22"/>
        <v>0</v>
      </c>
      <c r="AQ33" s="95">
        <f t="shared" si="23"/>
        <v>0</v>
      </c>
      <c r="AR33" s="95">
        <f t="shared" si="24"/>
        <v>0</v>
      </c>
      <c r="AS33" s="95">
        <f t="shared" si="25"/>
        <v>0</v>
      </c>
    </row>
    <row r="34" spans="1:45" x14ac:dyDescent="0.2">
      <c r="A34" s="101" t="s">
        <v>93</v>
      </c>
      <c r="B34" s="10" t="s">
        <v>29</v>
      </c>
      <c r="C34" s="56">
        <v>26123</v>
      </c>
      <c r="D34" s="75">
        <v>2900</v>
      </c>
      <c r="E34" s="57" t="s">
        <v>115</v>
      </c>
      <c r="F34" s="69">
        <v>4.07E-2</v>
      </c>
      <c r="G34" s="69">
        <v>9.2999999999999992E-3</v>
      </c>
      <c r="H34" s="72">
        <f t="shared" si="0"/>
        <v>0.05</v>
      </c>
      <c r="I34" s="63"/>
      <c r="J34" s="64">
        <v>36616</v>
      </c>
      <c r="K34">
        <v>91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3"/>
        <v>263900</v>
      </c>
      <c r="X34" s="30">
        <f t="shared" si="4"/>
        <v>0</v>
      </c>
      <c r="Y34" s="30">
        <f t="shared" si="5"/>
        <v>0</v>
      </c>
      <c r="Z34" s="30">
        <f t="shared" si="6"/>
        <v>0</v>
      </c>
      <c r="AA34" s="30">
        <f t="shared" si="7"/>
        <v>0</v>
      </c>
      <c r="AB34" s="30">
        <f t="shared" si="8"/>
        <v>0</v>
      </c>
      <c r="AC34" s="30">
        <f t="shared" si="9"/>
        <v>0</v>
      </c>
      <c r="AD34" s="30">
        <f t="shared" si="10"/>
        <v>0</v>
      </c>
      <c r="AE34" s="30">
        <f t="shared" si="11"/>
        <v>0</v>
      </c>
      <c r="AF34" s="30">
        <f t="shared" si="12"/>
        <v>0</v>
      </c>
      <c r="AG34" s="30">
        <f t="shared" si="13"/>
        <v>0</v>
      </c>
      <c r="AI34" s="95">
        <f t="shared" si="14"/>
        <v>13195</v>
      </c>
      <c r="AJ34" s="95">
        <f t="shared" si="16"/>
        <v>0</v>
      </c>
      <c r="AK34" s="95">
        <f t="shared" si="17"/>
        <v>0</v>
      </c>
      <c r="AL34" s="95">
        <f t="shared" si="18"/>
        <v>0</v>
      </c>
      <c r="AM34" s="95">
        <f t="shared" si="19"/>
        <v>0</v>
      </c>
      <c r="AN34" s="95">
        <f t="shared" si="20"/>
        <v>0</v>
      </c>
      <c r="AO34" s="95">
        <f t="shared" si="21"/>
        <v>0</v>
      </c>
      <c r="AP34" s="95">
        <f t="shared" si="22"/>
        <v>0</v>
      </c>
      <c r="AQ34" s="95">
        <f t="shared" si="23"/>
        <v>0</v>
      </c>
      <c r="AR34" s="95">
        <f t="shared" si="24"/>
        <v>0</v>
      </c>
      <c r="AS34" s="95">
        <f t="shared" si="25"/>
        <v>0</v>
      </c>
    </row>
    <row r="35" spans="1:45" x14ac:dyDescent="0.2">
      <c r="A35" s="101" t="s">
        <v>93</v>
      </c>
      <c r="B35" s="10" t="s">
        <v>69</v>
      </c>
      <c r="C35" s="60">
        <v>27340</v>
      </c>
      <c r="D35" s="75">
        <v>20000</v>
      </c>
      <c r="E35" s="56" t="s">
        <v>118</v>
      </c>
      <c r="F35" s="69">
        <v>0.10199999999999999</v>
      </c>
      <c r="G35" s="69">
        <v>7.1000000000000004E-3</v>
      </c>
      <c r="H35" s="72">
        <f t="shared" si="0"/>
        <v>0.10909999999999999</v>
      </c>
      <c r="I35" s="63">
        <v>36923</v>
      </c>
      <c r="J35" s="64">
        <v>37287</v>
      </c>
      <c r="K35">
        <v>0</v>
      </c>
      <c r="L35">
        <v>334</v>
      </c>
      <c r="M35">
        <v>31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 s="30">
        <f t="shared" si="3"/>
        <v>0</v>
      </c>
      <c r="X35" s="30">
        <f t="shared" si="4"/>
        <v>6680000</v>
      </c>
      <c r="Y35" s="30">
        <f t="shared" si="5"/>
        <v>620000</v>
      </c>
      <c r="Z35" s="30">
        <f t="shared" si="6"/>
        <v>0</v>
      </c>
      <c r="AA35" s="30">
        <f t="shared" si="7"/>
        <v>0</v>
      </c>
      <c r="AB35" s="30">
        <f t="shared" si="8"/>
        <v>0</v>
      </c>
      <c r="AC35" s="30">
        <f t="shared" si="9"/>
        <v>0</v>
      </c>
      <c r="AD35" s="30">
        <f t="shared" si="10"/>
        <v>0</v>
      </c>
      <c r="AE35" s="30">
        <f t="shared" si="11"/>
        <v>0</v>
      </c>
      <c r="AF35" s="30">
        <f t="shared" si="12"/>
        <v>0</v>
      </c>
      <c r="AG35" s="30">
        <f t="shared" si="13"/>
        <v>0</v>
      </c>
      <c r="AI35" s="95">
        <f t="shared" si="14"/>
        <v>0</v>
      </c>
      <c r="AJ35" s="95">
        <f t="shared" si="16"/>
        <v>728787.99999999988</v>
      </c>
      <c r="AK35" s="95">
        <f t="shared" si="17"/>
        <v>67642</v>
      </c>
      <c r="AL35" s="95">
        <f t="shared" si="18"/>
        <v>0</v>
      </c>
      <c r="AM35" s="95">
        <f t="shared" si="19"/>
        <v>0</v>
      </c>
      <c r="AN35" s="95">
        <f t="shared" si="20"/>
        <v>0</v>
      </c>
      <c r="AO35" s="95">
        <f t="shared" si="21"/>
        <v>0</v>
      </c>
      <c r="AP35" s="95">
        <f t="shared" si="22"/>
        <v>0</v>
      </c>
      <c r="AQ35" s="95">
        <f t="shared" si="23"/>
        <v>0</v>
      </c>
      <c r="AR35" s="95">
        <f t="shared" si="24"/>
        <v>0</v>
      </c>
      <c r="AS35" s="95">
        <f t="shared" si="25"/>
        <v>0</v>
      </c>
    </row>
    <row r="36" spans="1:45" x14ac:dyDescent="0.2">
      <c r="A36" s="101" t="s">
        <v>93</v>
      </c>
      <c r="B36" s="10" t="s">
        <v>26</v>
      </c>
      <c r="C36" s="60">
        <v>25841</v>
      </c>
      <c r="D36" s="75">
        <v>40000</v>
      </c>
      <c r="E36" s="56" t="s">
        <v>115</v>
      </c>
      <c r="F36" s="69">
        <v>4.07E-2</v>
      </c>
      <c r="G36" s="69">
        <v>9.2999999999999992E-3</v>
      </c>
      <c r="H36" s="72">
        <f t="shared" si="0"/>
        <v>0.05</v>
      </c>
      <c r="I36" s="63">
        <v>35827</v>
      </c>
      <c r="J36" s="64">
        <v>37560</v>
      </c>
      <c r="K36">
        <v>366</v>
      </c>
      <c r="L36">
        <v>365</v>
      </c>
      <c r="M36">
        <v>304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3"/>
        <v>14640000</v>
      </c>
      <c r="X36" s="30">
        <f t="shared" si="4"/>
        <v>14600000</v>
      </c>
      <c r="Y36" s="30">
        <f t="shared" si="5"/>
        <v>12160000</v>
      </c>
      <c r="Z36" s="30">
        <f t="shared" si="6"/>
        <v>0</v>
      </c>
      <c r="AA36" s="30">
        <f t="shared" si="7"/>
        <v>0</v>
      </c>
      <c r="AB36" s="30">
        <f t="shared" si="8"/>
        <v>0</v>
      </c>
      <c r="AC36" s="30">
        <f t="shared" si="9"/>
        <v>0</v>
      </c>
      <c r="AD36" s="30">
        <f t="shared" si="10"/>
        <v>0</v>
      </c>
      <c r="AE36" s="30">
        <f t="shared" si="11"/>
        <v>0</v>
      </c>
      <c r="AF36" s="30">
        <f t="shared" si="12"/>
        <v>0</v>
      </c>
      <c r="AG36" s="30">
        <f t="shared" si="13"/>
        <v>0</v>
      </c>
      <c r="AI36" s="95">
        <f t="shared" si="14"/>
        <v>732000</v>
      </c>
      <c r="AJ36" s="95">
        <f t="shared" si="16"/>
        <v>730000</v>
      </c>
      <c r="AK36" s="95">
        <f t="shared" si="17"/>
        <v>608000</v>
      </c>
      <c r="AL36" s="95">
        <f t="shared" si="18"/>
        <v>0</v>
      </c>
      <c r="AM36" s="95">
        <f t="shared" si="19"/>
        <v>0</v>
      </c>
      <c r="AN36" s="95">
        <f t="shared" si="20"/>
        <v>0</v>
      </c>
      <c r="AO36" s="95">
        <f t="shared" si="21"/>
        <v>0</v>
      </c>
      <c r="AP36" s="95">
        <f t="shared" si="22"/>
        <v>0</v>
      </c>
      <c r="AQ36" s="95">
        <f t="shared" si="23"/>
        <v>0</v>
      </c>
      <c r="AR36" s="95">
        <f t="shared" si="24"/>
        <v>0</v>
      </c>
      <c r="AS36" s="95">
        <f t="shared" si="25"/>
        <v>0</v>
      </c>
    </row>
    <row r="37" spans="1:45" x14ac:dyDescent="0.2">
      <c r="A37" s="101" t="s">
        <v>93</v>
      </c>
      <c r="B37" s="10" t="s">
        <v>26</v>
      </c>
      <c r="C37" s="60">
        <v>26511</v>
      </c>
      <c r="D37" s="75">
        <v>21000</v>
      </c>
      <c r="E37" s="56" t="s">
        <v>115</v>
      </c>
      <c r="F37" s="69">
        <v>4.07E-2</v>
      </c>
      <c r="G37" s="69">
        <v>9.2999999999999992E-3</v>
      </c>
      <c r="H37" s="72">
        <f t="shared" si="0"/>
        <v>0.05</v>
      </c>
      <c r="I37" s="63">
        <v>36100</v>
      </c>
      <c r="J37" s="64">
        <v>37560</v>
      </c>
      <c r="K37">
        <v>366</v>
      </c>
      <c r="L37">
        <v>365</v>
      </c>
      <c r="M37">
        <v>304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3"/>
        <v>7686000</v>
      </c>
      <c r="X37" s="30">
        <f t="shared" si="4"/>
        <v>7665000</v>
      </c>
      <c r="Y37" s="30">
        <f t="shared" si="5"/>
        <v>6384000</v>
      </c>
      <c r="Z37" s="30">
        <f t="shared" si="6"/>
        <v>0</v>
      </c>
      <c r="AA37" s="30">
        <f t="shared" si="7"/>
        <v>0</v>
      </c>
      <c r="AB37" s="30">
        <f t="shared" si="8"/>
        <v>0</v>
      </c>
      <c r="AC37" s="30">
        <f t="shared" si="9"/>
        <v>0</v>
      </c>
      <c r="AD37" s="30">
        <f t="shared" si="10"/>
        <v>0</v>
      </c>
      <c r="AE37" s="30">
        <f t="shared" si="11"/>
        <v>0</v>
      </c>
      <c r="AF37" s="30">
        <f t="shared" si="12"/>
        <v>0</v>
      </c>
      <c r="AG37" s="30">
        <f t="shared" si="13"/>
        <v>0</v>
      </c>
      <c r="AI37" s="95">
        <f t="shared" si="14"/>
        <v>384300</v>
      </c>
      <c r="AJ37" s="95">
        <f t="shared" si="16"/>
        <v>383250</v>
      </c>
      <c r="AK37" s="95">
        <f t="shared" si="17"/>
        <v>319200</v>
      </c>
      <c r="AL37" s="95">
        <f t="shared" si="18"/>
        <v>0</v>
      </c>
      <c r="AM37" s="95">
        <f t="shared" si="19"/>
        <v>0</v>
      </c>
      <c r="AN37" s="95">
        <f t="shared" si="20"/>
        <v>0</v>
      </c>
      <c r="AO37" s="95">
        <f t="shared" si="21"/>
        <v>0</v>
      </c>
      <c r="AP37" s="95">
        <f t="shared" si="22"/>
        <v>0</v>
      </c>
      <c r="AQ37" s="95">
        <f t="shared" si="23"/>
        <v>0</v>
      </c>
      <c r="AR37" s="95">
        <f t="shared" si="24"/>
        <v>0</v>
      </c>
      <c r="AS37" s="95">
        <f t="shared" si="25"/>
        <v>0</v>
      </c>
    </row>
    <row r="38" spans="1:45" x14ac:dyDescent="0.2">
      <c r="A38" s="80" t="s">
        <v>93</v>
      </c>
      <c r="B38" s="40" t="s">
        <v>80</v>
      </c>
      <c r="C38" s="62">
        <v>24194</v>
      </c>
      <c r="D38" s="78">
        <v>10000</v>
      </c>
      <c r="E38" s="58" t="s">
        <v>120</v>
      </c>
      <c r="F38" s="71">
        <v>0.1007</v>
      </c>
      <c r="G38" s="71">
        <v>9.2999999999999992E-3</v>
      </c>
      <c r="H38" s="72">
        <f t="shared" si="0"/>
        <v>0.11</v>
      </c>
      <c r="I38" s="45" t="s">
        <v>91</v>
      </c>
      <c r="J38" s="64">
        <v>37164</v>
      </c>
      <c r="K38">
        <v>366</v>
      </c>
      <c r="L38">
        <v>273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3"/>
        <v>3660000</v>
      </c>
      <c r="X38" s="30">
        <f t="shared" si="4"/>
        <v>2730000</v>
      </c>
      <c r="Y38" s="30">
        <f t="shared" si="5"/>
        <v>0</v>
      </c>
      <c r="Z38" s="30">
        <f t="shared" si="6"/>
        <v>0</v>
      </c>
      <c r="AA38" s="30">
        <f t="shared" si="7"/>
        <v>0</v>
      </c>
      <c r="AB38" s="30">
        <f t="shared" si="8"/>
        <v>0</v>
      </c>
      <c r="AC38" s="30">
        <f t="shared" si="9"/>
        <v>0</v>
      </c>
      <c r="AD38" s="30">
        <f t="shared" si="10"/>
        <v>0</v>
      </c>
      <c r="AE38" s="30">
        <f t="shared" si="11"/>
        <v>0</v>
      </c>
      <c r="AF38" s="30">
        <f t="shared" si="12"/>
        <v>0</v>
      </c>
      <c r="AG38" s="30">
        <f t="shared" si="13"/>
        <v>0</v>
      </c>
      <c r="AI38" s="95">
        <f t="shared" si="14"/>
        <v>402600</v>
      </c>
      <c r="AJ38" s="95">
        <f t="shared" si="16"/>
        <v>300300</v>
      </c>
      <c r="AK38" s="95">
        <f t="shared" si="17"/>
        <v>0</v>
      </c>
      <c r="AL38" s="95">
        <f t="shared" si="18"/>
        <v>0</v>
      </c>
      <c r="AM38" s="95">
        <f t="shared" si="19"/>
        <v>0</v>
      </c>
      <c r="AN38" s="95">
        <f t="shared" si="20"/>
        <v>0</v>
      </c>
      <c r="AO38" s="95">
        <f t="shared" si="21"/>
        <v>0</v>
      </c>
      <c r="AP38" s="95">
        <f t="shared" si="22"/>
        <v>0</v>
      </c>
      <c r="AQ38" s="95">
        <f t="shared" si="23"/>
        <v>0</v>
      </c>
      <c r="AR38" s="95">
        <f t="shared" si="24"/>
        <v>0</v>
      </c>
      <c r="AS38" s="95">
        <f t="shared" si="25"/>
        <v>0</v>
      </c>
    </row>
    <row r="39" spans="1:45" x14ac:dyDescent="0.2">
      <c r="A39" s="101" t="s">
        <v>93</v>
      </c>
      <c r="B39" s="10" t="s">
        <v>67</v>
      </c>
      <c r="C39" s="60">
        <v>26819</v>
      </c>
      <c r="D39" s="75">
        <v>10000</v>
      </c>
      <c r="E39" s="58" t="s">
        <v>115</v>
      </c>
      <c r="F39" s="69">
        <v>4.07E-2</v>
      </c>
      <c r="G39" s="69">
        <v>9.2999999999999992E-3</v>
      </c>
      <c r="H39" s="72">
        <f t="shared" si="0"/>
        <v>0.05</v>
      </c>
      <c r="I39" s="63">
        <v>36647</v>
      </c>
      <c r="J39" s="64">
        <v>38472</v>
      </c>
      <c r="K39">
        <v>245</v>
      </c>
      <c r="L39">
        <v>365</v>
      </c>
      <c r="M39">
        <v>365</v>
      </c>
      <c r="N39">
        <v>365</v>
      </c>
      <c r="O39">
        <v>120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3"/>
        <v>2450000</v>
      </c>
      <c r="X39" s="30">
        <f t="shared" si="4"/>
        <v>3650000</v>
      </c>
      <c r="Y39" s="30">
        <f t="shared" si="5"/>
        <v>3650000</v>
      </c>
      <c r="Z39" s="30">
        <f t="shared" si="6"/>
        <v>3650000</v>
      </c>
      <c r="AA39" s="30">
        <f t="shared" si="7"/>
        <v>1200000</v>
      </c>
      <c r="AB39" s="30">
        <f t="shared" si="8"/>
        <v>0</v>
      </c>
      <c r="AC39" s="30">
        <f t="shared" si="9"/>
        <v>0</v>
      </c>
      <c r="AD39" s="30">
        <f t="shared" si="10"/>
        <v>0</v>
      </c>
      <c r="AE39" s="30">
        <f t="shared" si="11"/>
        <v>0</v>
      </c>
      <c r="AF39" s="30">
        <f t="shared" si="12"/>
        <v>0</v>
      </c>
      <c r="AG39" s="30">
        <f t="shared" si="13"/>
        <v>0</v>
      </c>
      <c r="AI39" s="95">
        <f t="shared" si="14"/>
        <v>122500</v>
      </c>
      <c r="AJ39" s="95">
        <f t="shared" si="16"/>
        <v>182500</v>
      </c>
      <c r="AK39" s="95">
        <f t="shared" si="17"/>
        <v>182500</v>
      </c>
      <c r="AL39" s="95">
        <f t="shared" si="18"/>
        <v>182500</v>
      </c>
      <c r="AM39" s="95">
        <f t="shared" si="19"/>
        <v>60000</v>
      </c>
      <c r="AN39" s="95">
        <f t="shared" si="20"/>
        <v>0</v>
      </c>
      <c r="AO39" s="95">
        <f t="shared" si="21"/>
        <v>0</v>
      </c>
      <c r="AP39" s="95">
        <f t="shared" si="22"/>
        <v>0</v>
      </c>
      <c r="AQ39" s="95">
        <f t="shared" si="23"/>
        <v>0</v>
      </c>
      <c r="AR39" s="95">
        <f t="shared" si="24"/>
        <v>0</v>
      </c>
      <c r="AS39" s="95">
        <f t="shared" si="25"/>
        <v>0</v>
      </c>
    </row>
    <row r="40" spans="1:45" x14ac:dyDescent="0.2">
      <c r="A40" s="80" t="s">
        <v>93</v>
      </c>
      <c r="B40" s="40" t="s">
        <v>82</v>
      </c>
      <c r="C40" s="62" t="s">
        <v>81</v>
      </c>
      <c r="D40" s="78">
        <v>35714</v>
      </c>
      <c r="E40" s="58" t="s">
        <v>115</v>
      </c>
      <c r="F40" s="71">
        <v>9.5699999999999993E-2</v>
      </c>
      <c r="G40" s="71">
        <v>9.2999999999999992E-3</v>
      </c>
      <c r="H40" s="72">
        <f t="shared" si="0"/>
        <v>0.105</v>
      </c>
      <c r="I40" s="45">
        <v>34851</v>
      </c>
      <c r="J40" s="64">
        <v>37407</v>
      </c>
      <c r="K40">
        <v>366</v>
      </c>
      <c r="L40">
        <v>365</v>
      </c>
      <c r="M40">
        <v>151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3"/>
        <v>13071324</v>
      </c>
      <c r="X40" s="30">
        <f t="shared" si="4"/>
        <v>13035610</v>
      </c>
      <c r="Y40" s="30">
        <f t="shared" si="5"/>
        <v>5392814</v>
      </c>
      <c r="Z40" s="30">
        <f t="shared" si="6"/>
        <v>0</v>
      </c>
      <c r="AA40" s="30">
        <f t="shared" si="7"/>
        <v>0</v>
      </c>
      <c r="AB40" s="30">
        <f t="shared" si="8"/>
        <v>0</v>
      </c>
      <c r="AC40" s="30">
        <f t="shared" si="9"/>
        <v>0</v>
      </c>
      <c r="AD40" s="30">
        <f t="shared" si="10"/>
        <v>0</v>
      </c>
      <c r="AE40" s="30">
        <f t="shared" si="11"/>
        <v>0</v>
      </c>
      <c r="AF40" s="30">
        <f t="shared" si="12"/>
        <v>0</v>
      </c>
      <c r="AG40" s="30">
        <f t="shared" si="13"/>
        <v>0</v>
      </c>
      <c r="AI40" s="95">
        <f t="shared" si="14"/>
        <v>1372489.02</v>
      </c>
      <c r="AJ40" s="95">
        <f t="shared" si="16"/>
        <v>1368739.05</v>
      </c>
      <c r="AK40" s="95">
        <f t="shared" si="17"/>
        <v>566245.47</v>
      </c>
      <c r="AL40" s="95">
        <f t="shared" si="18"/>
        <v>0</v>
      </c>
      <c r="AM40" s="95">
        <f t="shared" si="19"/>
        <v>0</v>
      </c>
      <c r="AN40" s="95">
        <f t="shared" si="20"/>
        <v>0</v>
      </c>
      <c r="AO40" s="95">
        <f t="shared" si="21"/>
        <v>0</v>
      </c>
      <c r="AP40" s="95">
        <f t="shared" si="22"/>
        <v>0</v>
      </c>
      <c r="AQ40" s="95">
        <f t="shared" si="23"/>
        <v>0</v>
      </c>
      <c r="AR40" s="95">
        <f t="shared" si="24"/>
        <v>0</v>
      </c>
      <c r="AS40" s="95">
        <f t="shared" si="25"/>
        <v>0</v>
      </c>
    </row>
    <row r="41" spans="1:45" x14ac:dyDescent="0.2">
      <c r="A41" s="101" t="s">
        <v>93</v>
      </c>
      <c r="B41" s="10" t="s">
        <v>49</v>
      </c>
      <c r="C41" s="60">
        <v>27293</v>
      </c>
      <c r="D41" s="75">
        <v>49000</v>
      </c>
      <c r="E41" s="57" t="s">
        <v>115</v>
      </c>
      <c r="F41" s="69">
        <v>0.10199999999999999</v>
      </c>
      <c r="G41" s="69">
        <v>7.1000000000000004E-3</v>
      </c>
      <c r="H41" s="72">
        <f t="shared" si="0"/>
        <v>0.10909999999999999</v>
      </c>
      <c r="I41" s="63">
        <v>36831</v>
      </c>
      <c r="J41" s="64">
        <v>37195</v>
      </c>
      <c r="K41">
        <v>61</v>
      </c>
      <c r="L41">
        <v>304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3"/>
        <v>2989000</v>
      </c>
      <c r="X41" s="30">
        <f t="shared" si="4"/>
        <v>14896000</v>
      </c>
      <c r="Y41" s="30">
        <f t="shared" si="5"/>
        <v>0</v>
      </c>
      <c r="Z41" s="30">
        <f t="shared" si="6"/>
        <v>0</v>
      </c>
      <c r="AA41" s="30">
        <f t="shared" si="7"/>
        <v>0</v>
      </c>
      <c r="AB41" s="30">
        <f t="shared" si="8"/>
        <v>0</v>
      </c>
      <c r="AC41" s="30">
        <f t="shared" si="9"/>
        <v>0</v>
      </c>
      <c r="AD41" s="30">
        <f t="shared" si="10"/>
        <v>0</v>
      </c>
      <c r="AE41" s="30">
        <f t="shared" si="11"/>
        <v>0</v>
      </c>
      <c r="AF41" s="30">
        <f t="shared" si="12"/>
        <v>0</v>
      </c>
      <c r="AG41" s="30">
        <f t="shared" si="13"/>
        <v>0</v>
      </c>
      <c r="AI41" s="95">
        <f t="shared" si="14"/>
        <v>326099.89999999997</v>
      </c>
      <c r="AJ41" s="95">
        <f t="shared" si="16"/>
        <v>1625153.5999999999</v>
      </c>
      <c r="AK41" s="95">
        <f t="shared" si="17"/>
        <v>0</v>
      </c>
      <c r="AL41" s="95">
        <f t="shared" si="18"/>
        <v>0</v>
      </c>
      <c r="AM41" s="95">
        <f t="shared" si="19"/>
        <v>0</v>
      </c>
      <c r="AN41" s="95">
        <f t="shared" si="20"/>
        <v>0</v>
      </c>
      <c r="AO41" s="95">
        <f t="shared" si="21"/>
        <v>0</v>
      </c>
      <c r="AP41" s="95">
        <f t="shared" si="22"/>
        <v>0</v>
      </c>
      <c r="AQ41" s="95">
        <f t="shared" si="23"/>
        <v>0</v>
      </c>
      <c r="AR41" s="95">
        <f t="shared" si="24"/>
        <v>0</v>
      </c>
      <c r="AS41" s="95">
        <f t="shared" si="25"/>
        <v>0</v>
      </c>
    </row>
    <row r="42" spans="1:45" x14ac:dyDescent="0.2">
      <c r="A42" s="101" t="s">
        <v>93</v>
      </c>
      <c r="B42" s="10" t="s">
        <v>49</v>
      </c>
      <c r="C42" s="60">
        <v>27352</v>
      </c>
      <c r="D42" s="75">
        <v>21500</v>
      </c>
      <c r="E42" s="56" t="s">
        <v>122</v>
      </c>
      <c r="F42" s="69">
        <v>4.07E-2</v>
      </c>
      <c r="G42" s="69">
        <v>9.2999999999999992E-3</v>
      </c>
      <c r="H42" s="72">
        <f t="shared" si="0"/>
        <v>0.05</v>
      </c>
      <c r="I42" s="63">
        <v>37196</v>
      </c>
      <c r="J42" s="64">
        <v>37560</v>
      </c>
      <c r="K42">
        <v>0</v>
      </c>
      <c r="L42">
        <v>61</v>
      </c>
      <c r="M42">
        <v>304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si="3"/>
        <v>0</v>
      </c>
      <c r="X42" s="30">
        <f t="shared" si="4"/>
        <v>1311500</v>
      </c>
      <c r="Y42" s="30">
        <f t="shared" si="5"/>
        <v>6536000</v>
      </c>
      <c r="Z42" s="30">
        <f t="shared" si="6"/>
        <v>0</v>
      </c>
      <c r="AA42" s="30">
        <f t="shared" si="7"/>
        <v>0</v>
      </c>
      <c r="AB42" s="30">
        <f t="shared" si="8"/>
        <v>0</v>
      </c>
      <c r="AC42" s="30">
        <f t="shared" si="9"/>
        <v>0</v>
      </c>
      <c r="AD42" s="30">
        <f t="shared" si="10"/>
        <v>0</v>
      </c>
      <c r="AE42" s="30">
        <f t="shared" si="11"/>
        <v>0</v>
      </c>
      <c r="AF42" s="30">
        <f t="shared" si="12"/>
        <v>0</v>
      </c>
      <c r="AG42" s="30">
        <f t="shared" si="13"/>
        <v>0</v>
      </c>
      <c r="AI42" s="95">
        <f t="shared" si="14"/>
        <v>0</v>
      </c>
      <c r="AJ42" s="95">
        <f t="shared" si="16"/>
        <v>65575</v>
      </c>
      <c r="AK42" s="95">
        <f t="shared" si="17"/>
        <v>326800</v>
      </c>
      <c r="AL42" s="95">
        <f t="shared" si="18"/>
        <v>0</v>
      </c>
      <c r="AM42" s="95">
        <f t="shared" si="19"/>
        <v>0</v>
      </c>
      <c r="AN42" s="95">
        <f t="shared" si="20"/>
        <v>0</v>
      </c>
      <c r="AO42" s="95">
        <f t="shared" si="21"/>
        <v>0</v>
      </c>
      <c r="AP42" s="95">
        <f t="shared" si="22"/>
        <v>0</v>
      </c>
      <c r="AQ42" s="95">
        <f t="shared" si="23"/>
        <v>0</v>
      </c>
      <c r="AR42" s="95">
        <f t="shared" si="24"/>
        <v>0</v>
      </c>
      <c r="AS42" s="95">
        <f t="shared" si="25"/>
        <v>0</v>
      </c>
    </row>
    <row r="43" spans="1:45" x14ac:dyDescent="0.2">
      <c r="A43" s="101" t="s">
        <v>93</v>
      </c>
      <c r="B43" s="10" t="s">
        <v>33</v>
      </c>
      <c r="C43" s="60">
        <v>8255</v>
      </c>
      <c r="D43" s="75">
        <v>306000</v>
      </c>
      <c r="E43" s="56" t="s">
        <v>117</v>
      </c>
      <c r="F43" s="69">
        <v>0.10199999999999999</v>
      </c>
      <c r="G43" s="69">
        <v>7.1000000000000004E-3</v>
      </c>
      <c r="H43" s="72">
        <f t="shared" si="0"/>
        <v>0.10909999999999999</v>
      </c>
      <c r="I43" s="63">
        <v>32782</v>
      </c>
      <c r="J43" s="64">
        <v>38656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304</v>
      </c>
      <c r="Q43">
        <v>0</v>
      </c>
      <c r="R43">
        <v>0</v>
      </c>
      <c r="S43">
        <v>0</v>
      </c>
      <c r="T43">
        <v>0</v>
      </c>
      <c r="U43">
        <v>0</v>
      </c>
      <c r="W43" s="30">
        <f t="shared" si="3"/>
        <v>111996000</v>
      </c>
      <c r="X43" s="30">
        <f t="shared" si="4"/>
        <v>111690000</v>
      </c>
      <c r="Y43" s="30">
        <f t="shared" si="5"/>
        <v>111690000</v>
      </c>
      <c r="Z43" s="30">
        <f t="shared" si="6"/>
        <v>111690000</v>
      </c>
      <c r="AA43" s="30">
        <f t="shared" si="7"/>
        <v>111996000</v>
      </c>
      <c r="AB43" s="30">
        <f t="shared" si="8"/>
        <v>93024000</v>
      </c>
      <c r="AC43" s="30">
        <f t="shared" si="9"/>
        <v>0</v>
      </c>
      <c r="AD43" s="30">
        <f t="shared" si="10"/>
        <v>0</v>
      </c>
      <c r="AE43" s="30">
        <f t="shared" si="11"/>
        <v>0</v>
      </c>
      <c r="AF43" s="30">
        <f t="shared" si="12"/>
        <v>0</v>
      </c>
      <c r="AG43" s="30">
        <f t="shared" si="13"/>
        <v>0</v>
      </c>
      <c r="AI43" s="95">
        <f t="shared" si="14"/>
        <v>12218763.6</v>
      </c>
      <c r="AJ43" s="95">
        <f t="shared" si="16"/>
        <v>12185378.999999998</v>
      </c>
      <c r="AK43" s="95">
        <f t="shared" si="17"/>
        <v>12185378.999999998</v>
      </c>
      <c r="AL43" s="95">
        <f t="shared" si="18"/>
        <v>12185378.999999998</v>
      </c>
      <c r="AM43" s="95">
        <f t="shared" si="19"/>
        <v>12218763.6</v>
      </c>
      <c r="AN43" s="95">
        <f t="shared" si="20"/>
        <v>10148918.399999999</v>
      </c>
      <c r="AO43" s="95">
        <f t="shared" si="21"/>
        <v>0</v>
      </c>
      <c r="AP43" s="95">
        <f t="shared" si="22"/>
        <v>0</v>
      </c>
      <c r="AQ43" s="95">
        <f t="shared" si="23"/>
        <v>0</v>
      </c>
      <c r="AR43" s="95">
        <f t="shared" si="24"/>
        <v>0</v>
      </c>
      <c r="AS43" s="95">
        <f t="shared" si="25"/>
        <v>0</v>
      </c>
    </row>
    <row r="44" spans="1:45" x14ac:dyDescent="0.2">
      <c r="A44" s="101" t="s">
        <v>93</v>
      </c>
      <c r="B44" s="10" t="s">
        <v>68</v>
      </c>
      <c r="C44" s="60">
        <v>22037</v>
      </c>
      <c r="D44" s="75">
        <v>3000</v>
      </c>
      <c r="E44" s="57" t="s">
        <v>124</v>
      </c>
      <c r="F44" s="69">
        <v>0</v>
      </c>
      <c r="G44" s="69">
        <v>0</v>
      </c>
      <c r="H44" s="72">
        <v>0.05</v>
      </c>
      <c r="I44" s="63"/>
      <c r="J44" s="64"/>
      <c r="K44">
        <v>366</v>
      </c>
      <c r="L44">
        <v>365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3"/>
        <v>1098000</v>
      </c>
      <c r="X44" s="30">
        <f t="shared" si="4"/>
        <v>1095000</v>
      </c>
      <c r="Y44" s="30">
        <f t="shared" si="5"/>
        <v>1095000</v>
      </c>
      <c r="Z44" s="30">
        <f t="shared" si="6"/>
        <v>1095000</v>
      </c>
      <c r="AA44" s="30">
        <f t="shared" si="7"/>
        <v>0</v>
      </c>
      <c r="AB44" s="30">
        <f t="shared" si="8"/>
        <v>0</v>
      </c>
      <c r="AC44" s="30">
        <f t="shared" si="9"/>
        <v>0</v>
      </c>
      <c r="AD44" s="30">
        <f t="shared" si="10"/>
        <v>0</v>
      </c>
      <c r="AE44" s="30">
        <f t="shared" si="11"/>
        <v>0</v>
      </c>
      <c r="AF44" s="30">
        <f t="shared" si="12"/>
        <v>0</v>
      </c>
      <c r="AG44" s="30">
        <f t="shared" si="13"/>
        <v>0</v>
      </c>
      <c r="AI44" s="95">
        <f t="shared" si="14"/>
        <v>0</v>
      </c>
      <c r="AJ44" s="95">
        <f t="shared" si="16"/>
        <v>0</v>
      </c>
      <c r="AK44" s="95">
        <f t="shared" si="17"/>
        <v>0</v>
      </c>
      <c r="AL44" s="95">
        <f t="shared" si="18"/>
        <v>0</v>
      </c>
      <c r="AM44" s="95">
        <f t="shared" si="19"/>
        <v>0</v>
      </c>
      <c r="AN44" s="95">
        <f t="shared" si="20"/>
        <v>0</v>
      </c>
      <c r="AO44" s="95">
        <f t="shared" si="21"/>
        <v>0</v>
      </c>
      <c r="AP44" s="95">
        <f t="shared" si="22"/>
        <v>0</v>
      </c>
      <c r="AQ44" s="95">
        <f t="shared" si="23"/>
        <v>0</v>
      </c>
      <c r="AR44" s="95">
        <f t="shared" si="24"/>
        <v>0</v>
      </c>
      <c r="AS44" s="95">
        <f t="shared" si="25"/>
        <v>0</v>
      </c>
    </row>
    <row r="45" spans="1:45" x14ac:dyDescent="0.2">
      <c r="A45" s="101" t="s">
        <v>93</v>
      </c>
      <c r="B45" s="10" t="s">
        <v>68</v>
      </c>
      <c r="C45" s="60">
        <v>27252</v>
      </c>
      <c r="D45" s="75">
        <v>14000</v>
      </c>
      <c r="E45" s="57" t="s">
        <v>115</v>
      </c>
      <c r="F45" s="69">
        <v>4.07E-2</v>
      </c>
      <c r="G45" s="69">
        <v>9.2999999999999992E-3</v>
      </c>
      <c r="H45" s="72">
        <f>+G45+F45</f>
        <v>0.05</v>
      </c>
      <c r="I45" s="63">
        <v>36831</v>
      </c>
      <c r="J45" s="64">
        <v>40482</v>
      </c>
      <c r="K45">
        <v>61</v>
      </c>
      <c r="L45">
        <v>365</v>
      </c>
      <c r="M45">
        <v>365</v>
      </c>
      <c r="N45">
        <v>365</v>
      </c>
      <c r="O45">
        <v>366</v>
      </c>
      <c r="P45">
        <v>365</v>
      </c>
      <c r="Q45">
        <v>365</v>
      </c>
      <c r="R45">
        <v>365</v>
      </c>
      <c r="S45">
        <v>366</v>
      </c>
      <c r="T45">
        <v>365</v>
      </c>
      <c r="U45">
        <v>304</v>
      </c>
      <c r="W45" s="30">
        <f t="shared" si="3"/>
        <v>854000</v>
      </c>
      <c r="X45" s="30">
        <f t="shared" si="4"/>
        <v>5110000</v>
      </c>
      <c r="Y45" s="30">
        <f t="shared" si="5"/>
        <v>5110000</v>
      </c>
      <c r="Z45" s="30">
        <f t="shared" si="6"/>
        <v>5110000</v>
      </c>
      <c r="AA45" s="30">
        <f t="shared" si="7"/>
        <v>5124000</v>
      </c>
      <c r="AB45" s="30">
        <f t="shared" si="8"/>
        <v>5110000</v>
      </c>
      <c r="AC45" s="30">
        <f t="shared" si="9"/>
        <v>5110000</v>
      </c>
      <c r="AD45" s="30">
        <f t="shared" si="10"/>
        <v>5110000</v>
      </c>
      <c r="AE45" s="30">
        <f t="shared" si="11"/>
        <v>5124000</v>
      </c>
      <c r="AF45" s="30">
        <f t="shared" si="12"/>
        <v>5110000</v>
      </c>
      <c r="AG45" s="30">
        <f t="shared" si="13"/>
        <v>4256000</v>
      </c>
      <c r="AI45" s="95">
        <f t="shared" si="14"/>
        <v>42700</v>
      </c>
      <c r="AJ45" s="95">
        <f t="shared" si="16"/>
        <v>255500</v>
      </c>
      <c r="AK45" s="95">
        <f t="shared" si="17"/>
        <v>255500</v>
      </c>
      <c r="AL45" s="95">
        <f t="shared" si="18"/>
        <v>255500</v>
      </c>
      <c r="AM45" s="95">
        <f t="shared" si="19"/>
        <v>256200</v>
      </c>
      <c r="AN45" s="95">
        <f t="shared" si="20"/>
        <v>255500</v>
      </c>
      <c r="AO45" s="95">
        <f t="shared" si="21"/>
        <v>255500</v>
      </c>
      <c r="AP45" s="95">
        <f t="shared" si="22"/>
        <v>255500</v>
      </c>
      <c r="AQ45" s="95">
        <f t="shared" si="23"/>
        <v>256200</v>
      </c>
      <c r="AR45" s="95">
        <f t="shared" si="24"/>
        <v>255500</v>
      </c>
      <c r="AS45" s="95">
        <f t="shared" si="25"/>
        <v>212800</v>
      </c>
    </row>
    <row r="46" spans="1:45" x14ac:dyDescent="0.2">
      <c r="A46" s="101" t="s">
        <v>93</v>
      </c>
      <c r="B46" s="10" t="s">
        <v>28</v>
      </c>
      <c r="C46" s="56">
        <v>25850</v>
      </c>
      <c r="D46" s="75">
        <v>30000</v>
      </c>
      <c r="E46" s="57" t="s">
        <v>115</v>
      </c>
      <c r="F46" s="69">
        <v>4.07E-2</v>
      </c>
      <c r="G46" s="69">
        <v>9.2999999999999992E-3</v>
      </c>
      <c r="H46" s="72">
        <f>+G46+F46</f>
        <v>0.05</v>
      </c>
      <c r="I46" s="63"/>
      <c r="J46" s="64">
        <v>36556</v>
      </c>
      <c r="K46">
        <v>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3"/>
        <v>930000</v>
      </c>
      <c r="X46" s="30">
        <f t="shared" si="4"/>
        <v>0</v>
      </c>
      <c r="Y46" s="30">
        <f t="shared" si="5"/>
        <v>0</v>
      </c>
      <c r="Z46" s="30">
        <f t="shared" si="6"/>
        <v>0</v>
      </c>
      <c r="AA46" s="30">
        <f t="shared" si="7"/>
        <v>0</v>
      </c>
      <c r="AB46" s="30">
        <f t="shared" si="8"/>
        <v>0</v>
      </c>
      <c r="AC46" s="30">
        <f t="shared" si="9"/>
        <v>0</v>
      </c>
      <c r="AD46" s="30">
        <f t="shared" si="10"/>
        <v>0</v>
      </c>
      <c r="AE46" s="30">
        <f t="shared" si="11"/>
        <v>0</v>
      </c>
      <c r="AF46" s="30">
        <f t="shared" si="12"/>
        <v>0</v>
      </c>
      <c r="AG46" s="30">
        <f t="shared" si="13"/>
        <v>0</v>
      </c>
      <c r="AI46" s="95">
        <f t="shared" si="14"/>
        <v>46500</v>
      </c>
      <c r="AJ46" s="95">
        <f t="shared" si="16"/>
        <v>0</v>
      </c>
      <c r="AK46" s="95">
        <f t="shared" si="17"/>
        <v>0</v>
      </c>
      <c r="AL46" s="95">
        <f t="shared" si="18"/>
        <v>0</v>
      </c>
      <c r="AM46" s="95">
        <f t="shared" si="19"/>
        <v>0</v>
      </c>
      <c r="AN46" s="95">
        <f t="shared" si="20"/>
        <v>0</v>
      </c>
      <c r="AO46" s="95">
        <f t="shared" si="21"/>
        <v>0</v>
      </c>
      <c r="AP46" s="95">
        <f t="shared" si="22"/>
        <v>0</v>
      </c>
      <c r="AQ46" s="95">
        <f t="shared" si="23"/>
        <v>0</v>
      </c>
      <c r="AR46" s="95">
        <f t="shared" si="24"/>
        <v>0</v>
      </c>
      <c r="AS46" s="95">
        <f t="shared" si="25"/>
        <v>0</v>
      </c>
    </row>
    <row r="47" spans="1:45" x14ac:dyDescent="0.2">
      <c r="A47" s="101" t="s">
        <v>93</v>
      </c>
      <c r="B47" s="10" t="s">
        <v>30</v>
      </c>
      <c r="C47" s="56">
        <v>26393</v>
      </c>
      <c r="D47" s="75">
        <v>30000</v>
      </c>
      <c r="E47" s="57" t="s">
        <v>115</v>
      </c>
      <c r="F47" s="69">
        <v>4.0739999999999998E-2</v>
      </c>
      <c r="G47" s="69">
        <v>9.2999999999999992E-3</v>
      </c>
      <c r="H47" s="72">
        <f t="shared" ref="H47:H98" si="26">+G47+F47</f>
        <v>5.0040000000000001E-2</v>
      </c>
      <c r="I47" s="63"/>
      <c r="J47" s="64">
        <v>36616</v>
      </c>
      <c r="K47">
        <v>91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3"/>
        <v>2730000</v>
      </c>
      <c r="X47" s="30">
        <f t="shared" si="4"/>
        <v>0</v>
      </c>
      <c r="Y47" s="30">
        <f t="shared" si="5"/>
        <v>0</v>
      </c>
      <c r="Z47" s="30">
        <f t="shared" si="6"/>
        <v>0</v>
      </c>
      <c r="AA47" s="30">
        <f t="shared" si="7"/>
        <v>0</v>
      </c>
      <c r="AB47" s="30">
        <f t="shared" si="8"/>
        <v>0</v>
      </c>
      <c r="AC47" s="30">
        <f t="shared" si="9"/>
        <v>0</v>
      </c>
      <c r="AD47" s="30">
        <f t="shared" si="10"/>
        <v>0</v>
      </c>
      <c r="AE47" s="30">
        <f t="shared" si="11"/>
        <v>0</v>
      </c>
      <c r="AF47" s="30">
        <f t="shared" si="12"/>
        <v>0</v>
      </c>
      <c r="AG47" s="30">
        <f t="shared" si="13"/>
        <v>0</v>
      </c>
      <c r="AI47" s="95">
        <f t="shared" si="14"/>
        <v>136609.20000000001</v>
      </c>
      <c r="AJ47" s="95">
        <f t="shared" si="16"/>
        <v>0</v>
      </c>
      <c r="AK47" s="95">
        <f t="shared" si="17"/>
        <v>0</v>
      </c>
      <c r="AL47" s="95">
        <f t="shared" si="18"/>
        <v>0</v>
      </c>
      <c r="AM47" s="95">
        <f t="shared" si="19"/>
        <v>0</v>
      </c>
      <c r="AN47" s="95">
        <f t="shared" si="20"/>
        <v>0</v>
      </c>
      <c r="AO47" s="95">
        <f t="shared" si="21"/>
        <v>0</v>
      </c>
      <c r="AP47" s="95">
        <f t="shared" si="22"/>
        <v>0</v>
      </c>
      <c r="AQ47" s="95">
        <f t="shared" si="23"/>
        <v>0</v>
      </c>
      <c r="AR47" s="95">
        <f t="shared" si="24"/>
        <v>0</v>
      </c>
      <c r="AS47" s="95">
        <f t="shared" si="25"/>
        <v>0</v>
      </c>
    </row>
    <row r="48" spans="1:45" x14ac:dyDescent="0.2">
      <c r="A48" s="80" t="s">
        <v>93</v>
      </c>
      <c r="B48" s="41" t="s">
        <v>30</v>
      </c>
      <c r="C48" s="59">
        <v>27161</v>
      </c>
      <c r="D48" s="76">
        <v>400000</v>
      </c>
      <c r="E48" s="57" t="s">
        <v>116</v>
      </c>
      <c r="F48" s="67">
        <v>7.4999999999999997E-3</v>
      </c>
      <c r="G48" s="67">
        <v>9.2999999999999992E-3</v>
      </c>
      <c r="H48" s="72">
        <f t="shared" si="26"/>
        <v>1.6799999999999999E-2</v>
      </c>
      <c r="I48" s="46">
        <v>36617</v>
      </c>
      <c r="J48" s="64">
        <v>37711</v>
      </c>
      <c r="K48">
        <v>275</v>
      </c>
      <c r="L48">
        <v>365</v>
      </c>
      <c r="M48">
        <v>365</v>
      </c>
      <c r="N48">
        <v>90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3"/>
        <v>110000000</v>
      </c>
      <c r="X48" s="30">
        <f t="shared" si="4"/>
        <v>146000000</v>
      </c>
      <c r="Y48" s="30">
        <f t="shared" si="5"/>
        <v>146000000</v>
      </c>
      <c r="Z48" s="30">
        <f t="shared" si="6"/>
        <v>36000000</v>
      </c>
      <c r="AA48" s="30">
        <f t="shared" si="7"/>
        <v>0</v>
      </c>
      <c r="AB48" s="30">
        <f t="shared" si="8"/>
        <v>0</v>
      </c>
      <c r="AC48" s="30">
        <f t="shared" si="9"/>
        <v>0</v>
      </c>
      <c r="AD48" s="30">
        <f t="shared" si="10"/>
        <v>0</v>
      </c>
      <c r="AE48" s="30">
        <f t="shared" si="11"/>
        <v>0</v>
      </c>
      <c r="AF48" s="30">
        <f t="shared" si="12"/>
        <v>0</v>
      </c>
      <c r="AG48" s="30">
        <f t="shared" si="13"/>
        <v>0</v>
      </c>
      <c r="AI48" s="95">
        <f t="shared" si="14"/>
        <v>1848000</v>
      </c>
      <c r="AJ48" s="95">
        <f t="shared" si="16"/>
        <v>2452800</v>
      </c>
      <c r="AK48" s="95">
        <f t="shared" si="17"/>
        <v>2452800</v>
      </c>
      <c r="AL48" s="95">
        <f t="shared" si="18"/>
        <v>604800</v>
      </c>
      <c r="AM48" s="95">
        <f t="shared" si="19"/>
        <v>0</v>
      </c>
      <c r="AN48" s="95">
        <f t="shared" si="20"/>
        <v>0</v>
      </c>
      <c r="AO48" s="95">
        <f t="shared" si="21"/>
        <v>0</v>
      </c>
      <c r="AP48" s="95">
        <f t="shared" si="22"/>
        <v>0</v>
      </c>
      <c r="AQ48" s="95">
        <f t="shared" si="23"/>
        <v>0</v>
      </c>
      <c r="AR48" s="95">
        <f t="shared" si="24"/>
        <v>0</v>
      </c>
      <c r="AS48" s="95">
        <f t="shared" si="25"/>
        <v>0</v>
      </c>
    </row>
    <row r="49" spans="1:45" x14ac:dyDescent="0.2">
      <c r="A49" s="104" t="s">
        <v>93</v>
      </c>
      <c r="B49" s="42" t="s">
        <v>19</v>
      </c>
      <c r="C49" s="59">
        <v>24809</v>
      </c>
      <c r="D49" s="76">
        <v>20000</v>
      </c>
      <c r="E49" s="57" t="s">
        <v>118</v>
      </c>
      <c r="F49" s="67">
        <f>0.2174-0.0093-0.102-0.0011</f>
        <v>0.10500000000000001</v>
      </c>
      <c r="G49" s="67">
        <v>9.2999999999999992E-3</v>
      </c>
      <c r="H49" s="72">
        <f t="shared" si="26"/>
        <v>0.11430000000000001</v>
      </c>
      <c r="J49" s="64">
        <v>37225</v>
      </c>
      <c r="K49">
        <v>366</v>
      </c>
      <c r="L49">
        <v>334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3"/>
        <v>7320000</v>
      </c>
      <c r="X49" s="30">
        <f t="shared" si="4"/>
        <v>6680000</v>
      </c>
      <c r="Y49" s="30">
        <f t="shared" si="5"/>
        <v>0</v>
      </c>
      <c r="Z49" s="30">
        <f t="shared" si="6"/>
        <v>0</v>
      </c>
      <c r="AA49" s="30">
        <f t="shared" si="7"/>
        <v>0</v>
      </c>
      <c r="AB49" s="30">
        <f t="shared" si="8"/>
        <v>0</v>
      </c>
      <c r="AC49" s="30">
        <f t="shared" si="9"/>
        <v>0</v>
      </c>
      <c r="AD49" s="30">
        <f t="shared" si="10"/>
        <v>0</v>
      </c>
      <c r="AE49" s="30">
        <f t="shared" si="11"/>
        <v>0</v>
      </c>
      <c r="AF49" s="30">
        <f t="shared" si="12"/>
        <v>0</v>
      </c>
      <c r="AG49" s="30">
        <f t="shared" si="13"/>
        <v>0</v>
      </c>
      <c r="AI49" s="95">
        <f t="shared" si="14"/>
        <v>836676.00000000012</v>
      </c>
      <c r="AJ49" s="95">
        <f t="shared" si="16"/>
        <v>763524.00000000012</v>
      </c>
      <c r="AK49" s="95">
        <f t="shared" si="17"/>
        <v>0</v>
      </c>
      <c r="AL49" s="95">
        <f t="shared" si="18"/>
        <v>0</v>
      </c>
      <c r="AM49" s="95">
        <f t="shared" si="19"/>
        <v>0</v>
      </c>
      <c r="AN49" s="95">
        <f t="shared" si="20"/>
        <v>0</v>
      </c>
      <c r="AO49" s="95">
        <f t="shared" si="21"/>
        <v>0</v>
      </c>
      <c r="AP49" s="95">
        <f t="shared" si="22"/>
        <v>0</v>
      </c>
      <c r="AQ49" s="95">
        <f t="shared" si="23"/>
        <v>0</v>
      </c>
      <c r="AR49" s="95">
        <f t="shared" si="24"/>
        <v>0</v>
      </c>
      <c r="AS49" s="95">
        <f t="shared" si="25"/>
        <v>0</v>
      </c>
    </row>
    <row r="50" spans="1:45" x14ac:dyDescent="0.2">
      <c r="A50" s="80" t="s">
        <v>93</v>
      </c>
      <c r="B50" s="42" t="s">
        <v>88</v>
      </c>
      <c r="C50" s="59">
        <v>27420</v>
      </c>
      <c r="D50" s="76">
        <v>2500</v>
      </c>
      <c r="E50" s="57" t="s">
        <v>119</v>
      </c>
      <c r="F50" s="67">
        <v>5.57E-2</v>
      </c>
      <c r="G50" s="67">
        <v>9.2999999999999992E-3</v>
      </c>
      <c r="H50" s="72">
        <f t="shared" si="26"/>
        <v>6.5000000000000002E-2</v>
      </c>
      <c r="I50" s="46">
        <v>36861</v>
      </c>
      <c r="J50" s="64">
        <v>37225</v>
      </c>
      <c r="K50">
        <v>31</v>
      </c>
      <c r="L50">
        <v>334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 s="30">
        <f t="shared" si="3"/>
        <v>77500</v>
      </c>
      <c r="X50" s="30">
        <f t="shared" si="4"/>
        <v>835000</v>
      </c>
      <c r="Y50" s="30">
        <f t="shared" si="5"/>
        <v>0</v>
      </c>
      <c r="Z50" s="30">
        <f t="shared" si="6"/>
        <v>0</v>
      </c>
      <c r="AA50" s="30">
        <f t="shared" si="7"/>
        <v>0</v>
      </c>
      <c r="AB50" s="30">
        <f t="shared" si="8"/>
        <v>0</v>
      </c>
      <c r="AC50" s="30">
        <f t="shared" si="9"/>
        <v>0</v>
      </c>
      <c r="AD50" s="30">
        <f t="shared" si="10"/>
        <v>0</v>
      </c>
      <c r="AE50" s="30">
        <f t="shared" si="11"/>
        <v>0</v>
      </c>
      <c r="AF50" s="30">
        <f t="shared" si="12"/>
        <v>0</v>
      </c>
      <c r="AG50" s="30">
        <f t="shared" si="13"/>
        <v>0</v>
      </c>
      <c r="AI50" s="95">
        <f t="shared" si="14"/>
        <v>5037.5</v>
      </c>
      <c r="AJ50" s="95">
        <f t="shared" si="16"/>
        <v>54275</v>
      </c>
      <c r="AK50" s="95">
        <f t="shared" si="17"/>
        <v>0</v>
      </c>
      <c r="AL50" s="95">
        <f t="shared" si="18"/>
        <v>0</v>
      </c>
      <c r="AM50" s="95">
        <f t="shared" si="19"/>
        <v>0</v>
      </c>
      <c r="AN50" s="95">
        <f t="shared" si="20"/>
        <v>0</v>
      </c>
      <c r="AO50" s="95">
        <f t="shared" si="21"/>
        <v>0</v>
      </c>
      <c r="AP50" s="95">
        <f t="shared" si="22"/>
        <v>0</v>
      </c>
      <c r="AQ50" s="95">
        <f t="shared" si="23"/>
        <v>0</v>
      </c>
      <c r="AR50" s="95">
        <f t="shared" si="24"/>
        <v>0</v>
      </c>
      <c r="AS50" s="95">
        <f t="shared" si="25"/>
        <v>0</v>
      </c>
    </row>
    <row r="51" spans="1:45" x14ac:dyDescent="0.2">
      <c r="A51" s="10" t="s">
        <v>24</v>
      </c>
      <c r="C51"/>
      <c r="D51" s="73"/>
      <c r="E51" s="11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4"/>
      <c r="R51" s="93"/>
      <c r="S51" s="93"/>
      <c r="T51" s="93"/>
      <c r="U51" s="93"/>
      <c r="V51" s="93"/>
      <c r="W51" s="30">
        <f>SUM(W11:W50)</f>
        <v>397258169</v>
      </c>
      <c r="X51" s="30">
        <f t="shared" ref="X51:AG51" si="27">SUM(X11:X50)</f>
        <v>492304290</v>
      </c>
      <c r="Y51" s="30">
        <f t="shared" si="27"/>
        <v>425491994</v>
      </c>
      <c r="Z51" s="30">
        <f t="shared" si="27"/>
        <v>254991680</v>
      </c>
      <c r="AA51" s="30">
        <f t="shared" si="27"/>
        <v>177989712</v>
      </c>
      <c r="AB51" s="30">
        <f t="shared" si="27"/>
        <v>142908992</v>
      </c>
      <c r="AC51" s="30">
        <f t="shared" si="27"/>
        <v>34750000</v>
      </c>
      <c r="AD51" s="30">
        <f t="shared" si="27"/>
        <v>5358000</v>
      </c>
      <c r="AE51" s="30">
        <f t="shared" si="27"/>
        <v>5124000</v>
      </c>
      <c r="AF51" s="30">
        <f t="shared" si="27"/>
        <v>5110000</v>
      </c>
      <c r="AG51" s="30">
        <f t="shared" si="27"/>
        <v>4256000</v>
      </c>
      <c r="AH51" s="95"/>
      <c r="AI51" s="95">
        <f>SUM(AI11:AI50)</f>
        <v>23975981.219999999</v>
      </c>
      <c r="AJ51" s="95">
        <f t="shared" ref="AJ51:AS51" si="28">SUM(AJ11:AJ50)</f>
        <v>28068090.399999999</v>
      </c>
      <c r="AK51" s="95">
        <f t="shared" si="28"/>
        <v>22433462.469999999</v>
      </c>
      <c r="AL51" s="95">
        <f t="shared" si="28"/>
        <v>17487093</v>
      </c>
      <c r="AM51" s="95">
        <f t="shared" si="28"/>
        <v>14860381.199999999</v>
      </c>
      <c r="AN51" s="95">
        <f t="shared" si="28"/>
        <v>12268647.999999998</v>
      </c>
      <c r="AO51" s="95">
        <f t="shared" si="28"/>
        <v>1521068.0000000002</v>
      </c>
      <c r="AP51" s="95">
        <f t="shared" si="28"/>
        <v>267900</v>
      </c>
      <c r="AQ51" s="95">
        <f t="shared" si="28"/>
        <v>256200</v>
      </c>
      <c r="AR51" s="95">
        <f t="shared" si="28"/>
        <v>255500</v>
      </c>
      <c r="AS51" s="95">
        <f t="shared" si="28"/>
        <v>212800</v>
      </c>
    </row>
    <row r="52" spans="1:45" x14ac:dyDescent="0.2">
      <c r="C52"/>
      <c r="D52"/>
      <c r="E52" s="11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4"/>
      <c r="R52" s="94"/>
    </row>
    <row r="53" spans="1:45" x14ac:dyDescent="0.2">
      <c r="A53" s="10" t="s">
        <v>79</v>
      </c>
      <c r="C53"/>
      <c r="D53" s="96">
        <v>0.12071516913650263</v>
      </c>
      <c r="E53" s="11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4"/>
      <c r="R53" s="93"/>
      <c r="S53" s="93"/>
      <c r="T53" s="93"/>
      <c r="U53" s="93"/>
      <c r="V53" s="93"/>
      <c r="W53" s="93">
        <f>SUM(W11:W50)</f>
        <v>397258169</v>
      </c>
      <c r="X53" s="93">
        <f t="shared" ref="X53:AG53" si="29">SUM(X11:X50)</f>
        <v>492304290</v>
      </c>
      <c r="Y53" s="93">
        <f t="shared" si="29"/>
        <v>425491994</v>
      </c>
      <c r="Z53" s="93">
        <f t="shared" si="29"/>
        <v>254991680</v>
      </c>
      <c r="AA53" s="93">
        <f t="shared" si="29"/>
        <v>177989712</v>
      </c>
      <c r="AB53" s="93">
        <f t="shared" si="29"/>
        <v>142908992</v>
      </c>
      <c r="AC53" s="93">
        <f t="shared" si="29"/>
        <v>34750000</v>
      </c>
      <c r="AD53" s="93">
        <f t="shared" si="29"/>
        <v>5358000</v>
      </c>
      <c r="AE53" s="93">
        <f t="shared" si="29"/>
        <v>5124000</v>
      </c>
      <c r="AF53" s="93">
        <f t="shared" si="29"/>
        <v>5110000</v>
      </c>
      <c r="AG53" s="93">
        <f t="shared" si="29"/>
        <v>4256000</v>
      </c>
      <c r="AH53" s="95"/>
      <c r="AI53" s="95"/>
      <c r="AJ53" s="95"/>
      <c r="AK53" s="95"/>
      <c r="AL53" s="95"/>
      <c r="AM53" s="95"/>
    </row>
    <row r="54" spans="1:45" x14ac:dyDescent="0.2">
      <c r="A54" s="10" t="s">
        <v>60</v>
      </c>
      <c r="C54"/>
      <c r="D54" s="73"/>
      <c r="E54" s="11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4"/>
      <c r="R54" s="93"/>
      <c r="S54" s="93"/>
      <c r="T54" s="93"/>
      <c r="U54" s="93"/>
      <c r="V54" s="93"/>
      <c r="W54" s="93">
        <f>+W53/K6</f>
        <v>1085404.8333333333</v>
      </c>
      <c r="X54" s="93">
        <f t="shared" ref="X54:AG54" si="30">+X53/L6</f>
        <v>1348778.8767123288</v>
      </c>
      <c r="Y54" s="93">
        <f t="shared" si="30"/>
        <v>1165731.4904109589</v>
      </c>
      <c r="Z54" s="93">
        <f t="shared" si="30"/>
        <v>698607.34246575343</v>
      </c>
      <c r="AA54" s="93">
        <f t="shared" si="30"/>
        <v>486310.68852459016</v>
      </c>
      <c r="AB54" s="93">
        <f t="shared" si="30"/>
        <v>391531.48493150686</v>
      </c>
      <c r="AC54" s="93">
        <f t="shared" si="30"/>
        <v>95205.479452054788</v>
      </c>
      <c r="AD54" s="93">
        <f t="shared" si="30"/>
        <v>14679.452054794521</v>
      </c>
      <c r="AE54" s="93">
        <f t="shared" si="30"/>
        <v>14000</v>
      </c>
      <c r="AF54" s="93">
        <f t="shared" si="30"/>
        <v>14000</v>
      </c>
      <c r="AG54" s="93">
        <f t="shared" si="30"/>
        <v>11660.273972602739</v>
      </c>
      <c r="AH54" s="98"/>
      <c r="AI54" s="98"/>
      <c r="AJ54" s="98"/>
      <c r="AK54" s="98"/>
      <c r="AL54" s="98"/>
      <c r="AM54" s="98"/>
      <c r="AN54" s="31"/>
      <c r="AO54" s="31"/>
    </row>
    <row r="55" spans="1:45" x14ac:dyDescent="0.2">
      <c r="A55" s="10" t="s">
        <v>66</v>
      </c>
      <c r="C55"/>
      <c r="D55" s="96">
        <v>8.6777386708011203E-2</v>
      </c>
      <c r="E55" s="11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4"/>
      <c r="R55" s="93"/>
      <c r="S55" s="93"/>
      <c r="T55" s="93"/>
      <c r="U55" s="93"/>
      <c r="V55" s="93"/>
      <c r="W55" s="93">
        <f>1563000-W54</f>
        <v>477595.16666666674</v>
      </c>
      <c r="X55" s="93">
        <f t="shared" ref="X55:AG55" si="31">1563000-X54</f>
        <v>214221.12328767125</v>
      </c>
      <c r="Y55" s="93">
        <f t="shared" si="31"/>
        <v>397268.50958904112</v>
      </c>
      <c r="Z55" s="93">
        <f t="shared" si="31"/>
        <v>864392.65753424657</v>
      </c>
      <c r="AA55" s="93">
        <f t="shared" si="31"/>
        <v>1076689.3114754099</v>
      </c>
      <c r="AB55" s="93">
        <f t="shared" si="31"/>
        <v>1171468.5150684931</v>
      </c>
      <c r="AC55" s="93">
        <f t="shared" si="31"/>
        <v>1467794.5205479453</v>
      </c>
      <c r="AD55" s="93">
        <f t="shared" si="31"/>
        <v>1548320.5479452056</v>
      </c>
      <c r="AE55" s="93">
        <f t="shared" si="31"/>
        <v>1549000</v>
      </c>
      <c r="AF55" s="93">
        <f t="shared" si="31"/>
        <v>1549000</v>
      </c>
      <c r="AG55" s="93">
        <f t="shared" si="31"/>
        <v>1551339.7260273972</v>
      </c>
      <c r="AH55" s="95"/>
      <c r="AI55" s="95"/>
      <c r="AJ55" s="95"/>
      <c r="AK55" s="95"/>
      <c r="AL55" s="95"/>
      <c r="AM55" s="95"/>
    </row>
    <row r="56" spans="1:45" x14ac:dyDescent="0.2">
      <c r="A56" s="10" t="s">
        <v>128</v>
      </c>
      <c r="C56"/>
      <c r="D56" s="97"/>
      <c r="E56" s="11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4"/>
      <c r="R56" s="93"/>
      <c r="S56" s="93"/>
      <c r="T56" s="93"/>
      <c r="U56" s="93"/>
      <c r="V56" s="93"/>
      <c r="W56" s="126"/>
      <c r="X56" s="93"/>
      <c r="Y56" s="93"/>
      <c r="Z56" s="93"/>
      <c r="AA56" s="93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</row>
    <row r="57" spans="1:45" x14ac:dyDescent="0.2">
      <c r="A57" s="10"/>
      <c r="C57"/>
      <c r="D57" s="97"/>
      <c r="E57" s="11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4"/>
      <c r="R57" s="93"/>
      <c r="S57" s="93"/>
      <c r="T57" s="93"/>
      <c r="U57" s="93"/>
      <c r="V57" s="93"/>
      <c r="W57" s="93"/>
      <c r="X57" s="93"/>
      <c r="Y57" s="93"/>
      <c r="Z57" s="93"/>
      <c r="AA57" s="93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</row>
    <row r="58" spans="1:45" x14ac:dyDescent="0.2">
      <c r="A58" s="10"/>
      <c r="C58"/>
      <c r="D58" s="97"/>
      <c r="E58" s="11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4"/>
      <c r="R58" s="93"/>
      <c r="S58" s="93"/>
      <c r="T58" s="93"/>
      <c r="U58" s="93"/>
      <c r="V58" s="93"/>
      <c r="W58" s="93"/>
      <c r="X58" s="93"/>
      <c r="Y58" s="93"/>
      <c r="Z58" s="93"/>
      <c r="AA58" s="93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</row>
    <row r="59" spans="1:45" x14ac:dyDescent="0.2">
      <c r="K59" s="127" t="s">
        <v>3</v>
      </c>
      <c r="L59" s="128"/>
      <c r="M59" s="128"/>
      <c r="N59" s="128"/>
      <c r="O59" s="128"/>
      <c r="P59" s="128"/>
      <c r="Q59" s="128"/>
      <c r="R59" s="128"/>
      <c r="S59" s="128"/>
      <c r="T59" s="128"/>
      <c r="U59" s="129"/>
      <c r="V59" s="3"/>
      <c r="W59" s="130" t="s">
        <v>4</v>
      </c>
      <c r="X59" s="131"/>
      <c r="Y59" s="131"/>
      <c r="Z59" s="131"/>
      <c r="AA59" s="131"/>
      <c r="AB59" s="131"/>
      <c r="AC59" s="131"/>
      <c r="AD59" s="131"/>
      <c r="AE59" s="131"/>
      <c r="AF59" s="131"/>
      <c r="AG59" s="132"/>
      <c r="AI59" s="130" t="s">
        <v>5</v>
      </c>
      <c r="AJ59" s="131"/>
      <c r="AK59" s="131"/>
      <c r="AL59" s="131"/>
      <c r="AM59" s="131"/>
      <c r="AN59" s="131"/>
      <c r="AO59" s="131"/>
      <c r="AP59" s="131"/>
      <c r="AQ59" s="131"/>
      <c r="AR59" s="131"/>
      <c r="AS59" s="132"/>
    </row>
    <row r="60" spans="1:45" ht="13.5" thickBot="1" x14ac:dyDescent="0.25">
      <c r="A60" s="52" t="s">
        <v>108</v>
      </c>
      <c r="B60" s="52" t="s">
        <v>6</v>
      </c>
      <c r="C60" s="55" t="s">
        <v>7</v>
      </c>
      <c r="D60" s="74" t="s">
        <v>111</v>
      </c>
      <c r="E60" s="55" t="s">
        <v>112</v>
      </c>
      <c r="F60" s="68" t="s">
        <v>113</v>
      </c>
      <c r="G60" s="68" t="s">
        <v>114</v>
      </c>
      <c r="H60" s="54" t="s">
        <v>109</v>
      </c>
      <c r="I60" s="53" t="s">
        <v>110</v>
      </c>
      <c r="J60" s="8" t="s">
        <v>2</v>
      </c>
      <c r="K60" s="6">
        <v>2000</v>
      </c>
      <c r="L60" s="6">
        <v>2001</v>
      </c>
      <c r="M60" s="6">
        <v>2002</v>
      </c>
      <c r="N60" s="6">
        <v>2003</v>
      </c>
      <c r="O60" s="6">
        <v>2004</v>
      </c>
      <c r="P60" s="6">
        <v>2005</v>
      </c>
      <c r="Q60" s="6">
        <v>2006</v>
      </c>
      <c r="R60" s="6">
        <v>2007</v>
      </c>
      <c r="S60" s="6">
        <v>2008</v>
      </c>
      <c r="T60" s="6">
        <v>2009</v>
      </c>
      <c r="U60" s="6">
        <v>2010</v>
      </c>
      <c r="V60" s="3"/>
      <c r="W60" s="7">
        <v>2000</v>
      </c>
      <c r="X60" s="8">
        <v>2001</v>
      </c>
      <c r="Y60" s="8">
        <v>2002</v>
      </c>
      <c r="Z60" s="8">
        <v>2003</v>
      </c>
      <c r="AA60" s="8">
        <v>2004</v>
      </c>
      <c r="AB60" s="8">
        <v>2005</v>
      </c>
      <c r="AC60" s="8">
        <v>2006</v>
      </c>
      <c r="AD60" s="8">
        <v>2007</v>
      </c>
      <c r="AE60" s="8">
        <v>2008</v>
      </c>
      <c r="AF60" s="8">
        <v>2009</v>
      </c>
      <c r="AG60" s="9">
        <v>2010</v>
      </c>
      <c r="AI60" s="7">
        <v>2000</v>
      </c>
      <c r="AJ60" s="8">
        <v>2001</v>
      </c>
      <c r="AK60" s="8">
        <v>2002</v>
      </c>
      <c r="AL60" s="8">
        <v>2003</v>
      </c>
      <c r="AM60" s="8">
        <v>2004</v>
      </c>
      <c r="AN60" s="8">
        <v>2005</v>
      </c>
      <c r="AO60" s="8">
        <v>2006</v>
      </c>
      <c r="AP60" s="8">
        <v>2007</v>
      </c>
      <c r="AQ60" s="8">
        <v>2008</v>
      </c>
      <c r="AR60" s="8">
        <v>2009</v>
      </c>
      <c r="AS60" s="9">
        <v>2010</v>
      </c>
    </row>
    <row r="61" spans="1:45" x14ac:dyDescent="0.2">
      <c r="A61" s="108" t="s">
        <v>95</v>
      </c>
      <c r="B61" s="42" t="s">
        <v>105</v>
      </c>
      <c r="C61" s="59">
        <v>27370</v>
      </c>
      <c r="D61" s="76">
        <v>22000</v>
      </c>
      <c r="E61" s="57" t="s">
        <v>115</v>
      </c>
      <c r="F61" s="67">
        <v>6.6699999999999995E-2</v>
      </c>
      <c r="G61" s="67">
        <v>3.3E-3</v>
      </c>
      <c r="H61" s="72">
        <f t="shared" si="26"/>
        <v>6.9999999999999993E-2</v>
      </c>
      <c r="I61" s="46">
        <v>36892</v>
      </c>
      <c r="J61" s="64">
        <v>37256</v>
      </c>
      <c r="K61">
        <v>0</v>
      </c>
      <c r="L61">
        <v>365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>+K61*$D61</f>
        <v>0</v>
      </c>
      <c r="X61" s="30">
        <f t="shared" ref="X61:AG76" si="32">+L61*$D61</f>
        <v>8030000</v>
      </c>
      <c r="Y61" s="30">
        <f t="shared" si="32"/>
        <v>0</v>
      </c>
      <c r="Z61" s="30">
        <f t="shared" si="32"/>
        <v>0</v>
      </c>
      <c r="AA61" s="30">
        <f t="shared" si="32"/>
        <v>0</v>
      </c>
      <c r="AB61" s="30">
        <f t="shared" si="32"/>
        <v>0</v>
      </c>
      <c r="AC61" s="30">
        <f t="shared" si="32"/>
        <v>0</v>
      </c>
      <c r="AD61" s="30">
        <f t="shared" si="32"/>
        <v>0</v>
      </c>
      <c r="AE61" s="30">
        <f t="shared" si="32"/>
        <v>0</v>
      </c>
      <c r="AF61" s="30">
        <f t="shared" si="32"/>
        <v>0</v>
      </c>
      <c r="AG61" s="30">
        <f t="shared" si="32"/>
        <v>0</v>
      </c>
      <c r="AI61" s="95">
        <f t="shared" ref="AI61:AI78" si="33">+W61*($F61+$G61)</f>
        <v>0</v>
      </c>
      <c r="AJ61" s="95">
        <f t="shared" ref="AJ61:AJ78" si="34">+X61*($F61+$G61)</f>
        <v>562100</v>
      </c>
      <c r="AK61" s="95">
        <f t="shared" ref="AK61:AK78" si="35">+Y61*($F61+$G61)</f>
        <v>0</v>
      </c>
      <c r="AL61" s="95">
        <f t="shared" ref="AL61:AL78" si="36">+Z61*($F61+$G61)</f>
        <v>0</v>
      </c>
      <c r="AM61" s="95">
        <f t="shared" ref="AM61:AM78" si="37">+AA61*($F61+$G61)</f>
        <v>0</v>
      </c>
      <c r="AN61" s="95">
        <f t="shared" ref="AN61:AN78" si="38">+AB61*($F61+$G61)</f>
        <v>0</v>
      </c>
      <c r="AO61" s="95">
        <f t="shared" ref="AO61:AO78" si="39">+AC61*($F61+$G61)</f>
        <v>0</v>
      </c>
      <c r="AP61" s="95">
        <f t="shared" ref="AP61:AP78" si="40">+AD61*($F61+$G61)</f>
        <v>0</v>
      </c>
      <c r="AQ61" s="95">
        <f t="shared" ref="AQ61:AQ78" si="41">+AE61*($F61+$G61)</f>
        <v>0</v>
      </c>
      <c r="AR61" s="95">
        <f t="shared" ref="AR61:AR78" si="42">+AF61*($F61+$G61)</f>
        <v>0</v>
      </c>
      <c r="AS61" s="95">
        <f t="shared" ref="AS61:AS78" si="43">+AG61*($F61+$G61)</f>
        <v>0</v>
      </c>
    </row>
    <row r="62" spans="1:45" x14ac:dyDescent="0.2">
      <c r="A62" s="108" t="s">
        <v>95</v>
      </c>
      <c r="B62" s="49" t="s">
        <v>105</v>
      </c>
      <c r="C62" s="61">
        <v>27371</v>
      </c>
      <c r="D62" s="77">
        <v>21200</v>
      </c>
      <c r="E62" s="57" t="s">
        <v>115</v>
      </c>
      <c r="F62" s="70">
        <v>4.1700000000000001E-2</v>
      </c>
      <c r="G62" s="70">
        <v>3.3E-3</v>
      </c>
      <c r="H62" s="72">
        <f t="shared" si="26"/>
        <v>4.4999999999999998E-2</v>
      </c>
      <c r="I62" s="51">
        <v>36923</v>
      </c>
      <c r="J62" s="64">
        <v>37256</v>
      </c>
      <c r="K62">
        <v>0</v>
      </c>
      <c r="L62">
        <v>334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 s="30">
        <f t="shared" ref="W62:W78" si="44">+K62*$D62</f>
        <v>0</v>
      </c>
      <c r="X62" s="30">
        <f t="shared" si="32"/>
        <v>7080800</v>
      </c>
      <c r="Y62" s="30">
        <f t="shared" si="32"/>
        <v>0</v>
      </c>
      <c r="Z62" s="30">
        <f t="shared" si="32"/>
        <v>0</v>
      </c>
      <c r="AA62" s="30">
        <f t="shared" si="32"/>
        <v>0</v>
      </c>
      <c r="AB62" s="30">
        <f t="shared" si="32"/>
        <v>0</v>
      </c>
      <c r="AC62" s="30">
        <f t="shared" si="32"/>
        <v>0</v>
      </c>
      <c r="AD62" s="30">
        <f t="shared" si="32"/>
        <v>0</v>
      </c>
      <c r="AE62" s="30">
        <f t="shared" si="32"/>
        <v>0</v>
      </c>
      <c r="AF62" s="30">
        <f t="shared" si="32"/>
        <v>0</v>
      </c>
      <c r="AG62" s="30">
        <f t="shared" si="32"/>
        <v>0</v>
      </c>
      <c r="AI62" s="95">
        <f t="shared" si="33"/>
        <v>0</v>
      </c>
      <c r="AJ62" s="95">
        <f t="shared" si="34"/>
        <v>318636</v>
      </c>
      <c r="AK62" s="95">
        <f t="shared" si="35"/>
        <v>0</v>
      </c>
      <c r="AL62" s="95">
        <f t="shared" si="36"/>
        <v>0</v>
      </c>
      <c r="AM62" s="95">
        <f t="shared" si="37"/>
        <v>0</v>
      </c>
      <c r="AN62" s="95">
        <f t="shared" si="38"/>
        <v>0</v>
      </c>
      <c r="AO62" s="95">
        <f t="shared" si="39"/>
        <v>0</v>
      </c>
      <c r="AP62" s="95">
        <f t="shared" si="40"/>
        <v>0</v>
      </c>
      <c r="AQ62" s="95">
        <f t="shared" si="41"/>
        <v>0</v>
      </c>
      <c r="AR62" s="95">
        <f t="shared" si="42"/>
        <v>0</v>
      </c>
      <c r="AS62" s="95">
        <f t="shared" si="43"/>
        <v>0</v>
      </c>
    </row>
    <row r="63" spans="1:45" x14ac:dyDescent="0.2">
      <c r="A63" s="112" t="s">
        <v>95</v>
      </c>
      <c r="B63" s="49" t="s">
        <v>106</v>
      </c>
      <c r="C63" s="59">
        <v>25071</v>
      </c>
      <c r="D63" s="76">
        <v>60000</v>
      </c>
      <c r="E63" s="57" t="s">
        <v>115</v>
      </c>
      <c r="F63" s="67">
        <v>4.6699999999999998E-2</v>
      </c>
      <c r="G63" s="67">
        <v>3.3E-3</v>
      </c>
      <c r="H63" s="72">
        <f t="shared" si="26"/>
        <v>4.9999999999999996E-2</v>
      </c>
      <c r="I63" s="51">
        <v>35400</v>
      </c>
      <c r="J63" s="64">
        <v>39782</v>
      </c>
      <c r="K63">
        <v>366</v>
      </c>
      <c r="L63">
        <v>365</v>
      </c>
      <c r="M63">
        <v>365</v>
      </c>
      <c r="N63">
        <v>365</v>
      </c>
      <c r="O63">
        <v>366</v>
      </c>
      <c r="P63">
        <v>365</v>
      </c>
      <c r="Q63">
        <v>365</v>
      </c>
      <c r="R63">
        <v>365</v>
      </c>
      <c r="S63">
        <v>335</v>
      </c>
      <c r="T63">
        <v>0</v>
      </c>
      <c r="U63">
        <v>0</v>
      </c>
      <c r="W63" s="30">
        <f t="shared" si="44"/>
        <v>21960000</v>
      </c>
      <c r="X63" s="30">
        <f t="shared" si="32"/>
        <v>21900000</v>
      </c>
      <c r="Y63" s="30">
        <f t="shared" si="32"/>
        <v>21900000</v>
      </c>
      <c r="Z63" s="30">
        <f t="shared" si="32"/>
        <v>21900000</v>
      </c>
      <c r="AA63" s="30">
        <f t="shared" si="32"/>
        <v>21960000</v>
      </c>
      <c r="AB63" s="30">
        <f t="shared" si="32"/>
        <v>21900000</v>
      </c>
      <c r="AC63" s="30">
        <f t="shared" si="32"/>
        <v>21900000</v>
      </c>
      <c r="AD63" s="30">
        <f t="shared" si="32"/>
        <v>21900000</v>
      </c>
      <c r="AE63" s="30">
        <f t="shared" si="32"/>
        <v>20100000</v>
      </c>
      <c r="AF63" s="30">
        <f t="shared" si="32"/>
        <v>0</v>
      </c>
      <c r="AG63" s="30">
        <f t="shared" si="32"/>
        <v>0</v>
      </c>
      <c r="AI63" s="95">
        <f t="shared" si="33"/>
        <v>1098000</v>
      </c>
      <c r="AJ63" s="95">
        <f t="shared" si="34"/>
        <v>1095000</v>
      </c>
      <c r="AK63" s="95">
        <f t="shared" si="35"/>
        <v>1095000</v>
      </c>
      <c r="AL63" s="95">
        <f t="shared" si="36"/>
        <v>1095000</v>
      </c>
      <c r="AM63" s="95">
        <f t="shared" si="37"/>
        <v>1098000</v>
      </c>
      <c r="AN63" s="95">
        <f t="shared" si="38"/>
        <v>1095000</v>
      </c>
      <c r="AO63" s="95">
        <f t="shared" si="39"/>
        <v>1095000</v>
      </c>
      <c r="AP63" s="95">
        <f t="shared" si="40"/>
        <v>1095000</v>
      </c>
      <c r="AQ63" s="95">
        <f t="shared" si="41"/>
        <v>1004999.9999999999</v>
      </c>
      <c r="AR63" s="95">
        <f t="shared" si="42"/>
        <v>0</v>
      </c>
      <c r="AS63" s="95">
        <f t="shared" si="43"/>
        <v>0</v>
      </c>
    </row>
    <row r="64" spans="1:45" x14ac:dyDescent="0.2">
      <c r="A64" s="108" t="s">
        <v>95</v>
      </c>
      <c r="B64" s="49" t="s">
        <v>106</v>
      </c>
      <c r="C64" s="59">
        <v>27460</v>
      </c>
      <c r="D64" s="76">
        <v>55000</v>
      </c>
      <c r="E64" s="57" t="s">
        <v>118</v>
      </c>
      <c r="F64" s="67">
        <v>0.10199999999999999</v>
      </c>
      <c r="G64" s="67">
        <v>1.1000000000000001E-3</v>
      </c>
      <c r="H64" s="72">
        <f t="shared" si="26"/>
        <v>0.1031</v>
      </c>
      <c r="I64" s="51">
        <v>37257</v>
      </c>
      <c r="J64" s="64">
        <v>37986</v>
      </c>
      <c r="K64">
        <v>0</v>
      </c>
      <c r="L64">
        <v>0</v>
      </c>
      <c r="M64">
        <v>365</v>
      </c>
      <c r="N64">
        <v>365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44"/>
        <v>0</v>
      </c>
      <c r="X64" s="30">
        <f t="shared" si="32"/>
        <v>0</v>
      </c>
      <c r="Y64" s="30">
        <f t="shared" si="32"/>
        <v>20075000</v>
      </c>
      <c r="Z64" s="30">
        <f t="shared" si="32"/>
        <v>20075000</v>
      </c>
      <c r="AA64" s="30">
        <f t="shared" si="32"/>
        <v>0</v>
      </c>
      <c r="AB64" s="30">
        <f t="shared" si="32"/>
        <v>0</v>
      </c>
      <c r="AC64" s="30">
        <f t="shared" si="32"/>
        <v>0</v>
      </c>
      <c r="AD64" s="30">
        <f t="shared" si="32"/>
        <v>0</v>
      </c>
      <c r="AE64" s="30">
        <f t="shared" si="32"/>
        <v>0</v>
      </c>
      <c r="AF64" s="30">
        <f t="shared" si="32"/>
        <v>0</v>
      </c>
      <c r="AG64" s="30">
        <f t="shared" si="32"/>
        <v>0</v>
      </c>
      <c r="AI64" s="95">
        <f t="shared" si="33"/>
        <v>0</v>
      </c>
      <c r="AJ64" s="95">
        <f t="shared" si="34"/>
        <v>0</v>
      </c>
      <c r="AK64" s="95">
        <f t="shared" si="35"/>
        <v>2069732.5</v>
      </c>
      <c r="AL64" s="95">
        <f t="shared" si="36"/>
        <v>2069732.5</v>
      </c>
      <c r="AM64" s="95">
        <f t="shared" si="37"/>
        <v>0</v>
      </c>
      <c r="AN64" s="95">
        <f t="shared" si="38"/>
        <v>0</v>
      </c>
      <c r="AO64" s="95">
        <f t="shared" si="39"/>
        <v>0</v>
      </c>
      <c r="AP64" s="95">
        <f t="shared" si="40"/>
        <v>0</v>
      </c>
      <c r="AQ64" s="95">
        <f t="shared" si="41"/>
        <v>0</v>
      </c>
      <c r="AR64" s="95">
        <f t="shared" si="42"/>
        <v>0</v>
      </c>
      <c r="AS64" s="95">
        <f t="shared" si="43"/>
        <v>0</v>
      </c>
    </row>
    <row r="65" spans="1:45" x14ac:dyDescent="0.2">
      <c r="A65" s="108" t="s">
        <v>95</v>
      </c>
      <c r="B65" s="42" t="s">
        <v>16</v>
      </c>
      <c r="C65" s="59">
        <v>25067</v>
      </c>
      <c r="D65" s="76">
        <v>15000</v>
      </c>
      <c r="E65" s="57" t="s">
        <v>115</v>
      </c>
      <c r="F65" s="67">
        <v>4.3900000000000002E-2</v>
      </c>
      <c r="G65" s="67">
        <v>1.1000000000000001E-3</v>
      </c>
      <c r="H65" s="72">
        <f t="shared" si="26"/>
        <v>4.4999999999999998E-2</v>
      </c>
      <c r="I65" s="45">
        <v>35309</v>
      </c>
      <c r="J65" s="64">
        <v>37225</v>
      </c>
      <c r="K65">
        <v>366</v>
      </c>
      <c r="L65">
        <v>334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 s="30">
        <f t="shared" si="44"/>
        <v>5490000</v>
      </c>
      <c r="X65" s="30">
        <f t="shared" si="32"/>
        <v>5010000</v>
      </c>
      <c r="Y65" s="30">
        <f t="shared" si="32"/>
        <v>0</v>
      </c>
      <c r="Z65" s="30">
        <f t="shared" si="32"/>
        <v>0</v>
      </c>
      <c r="AA65" s="30">
        <f t="shared" si="32"/>
        <v>0</v>
      </c>
      <c r="AB65" s="30">
        <f t="shared" si="32"/>
        <v>0</v>
      </c>
      <c r="AC65" s="30">
        <f t="shared" si="32"/>
        <v>0</v>
      </c>
      <c r="AD65" s="30">
        <f t="shared" si="32"/>
        <v>0</v>
      </c>
      <c r="AE65" s="30">
        <f t="shared" si="32"/>
        <v>0</v>
      </c>
      <c r="AF65" s="30">
        <f t="shared" si="32"/>
        <v>0</v>
      </c>
      <c r="AG65" s="30">
        <f t="shared" si="32"/>
        <v>0</v>
      </c>
      <c r="AI65" s="95">
        <f t="shared" si="33"/>
        <v>247050</v>
      </c>
      <c r="AJ65" s="95">
        <f t="shared" si="34"/>
        <v>225450</v>
      </c>
      <c r="AK65" s="95">
        <f t="shared" si="35"/>
        <v>0</v>
      </c>
      <c r="AL65" s="95">
        <f t="shared" si="36"/>
        <v>0</v>
      </c>
      <c r="AM65" s="95">
        <f t="shared" si="37"/>
        <v>0</v>
      </c>
      <c r="AN65" s="95">
        <f t="shared" si="38"/>
        <v>0</v>
      </c>
      <c r="AO65" s="95">
        <f t="shared" si="39"/>
        <v>0</v>
      </c>
      <c r="AP65" s="95">
        <f t="shared" si="40"/>
        <v>0</v>
      </c>
      <c r="AQ65" s="95">
        <f t="shared" si="41"/>
        <v>0</v>
      </c>
      <c r="AR65" s="95">
        <f t="shared" si="42"/>
        <v>0</v>
      </c>
      <c r="AS65" s="95">
        <f t="shared" si="43"/>
        <v>0</v>
      </c>
    </row>
    <row r="66" spans="1:45" x14ac:dyDescent="0.2">
      <c r="A66" s="108" t="s">
        <v>95</v>
      </c>
      <c r="B66" s="42" t="s">
        <v>16</v>
      </c>
      <c r="C66" s="59">
        <v>27651</v>
      </c>
      <c r="D66" s="76">
        <v>33000</v>
      </c>
      <c r="E66" s="57" t="s">
        <v>115</v>
      </c>
      <c r="F66" s="67">
        <v>0.10199999999999999</v>
      </c>
      <c r="G66" s="67">
        <v>1.1000000000000001E-3</v>
      </c>
      <c r="H66" s="72">
        <f t="shared" si="26"/>
        <v>0.1031</v>
      </c>
      <c r="I66" s="46">
        <v>37073</v>
      </c>
      <c r="J66" s="64">
        <v>37134</v>
      </c>
      <c r="K66">
        <v>0</v>
      </c>
      <c r="L66">
        <v>62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 s="30">
        <f t="shared" si="44"/>
        <v>0</v>
      </c>
      <c r="X66" s="30">
        <f t="shared" si="32"/>
        <v>2046000</v>
      </c>
      <c r="Y66" s="30">
        <f t="shared" si="32"/>
        <v>0</v>
      </c>
      <c r="Z66" s="30">
        <f t="shared" si="32"/>
        <v>0</v>
      </c>
      <c r="AA66" s="30">
        <f t="shared" si="32"/>
        <v>0</v>
      </c>
      <c r="AB66" s="30">
        <f t="shared" si="32"/>
        <v>0</v>
      </c>
      <c r="AC66" s="30">
        <f t="shared" si="32"/>
        <v>0</v>
      </c>
      <c r="AD66" s="30">
        <f t="shared" si="32"/>
        <v>0</v>
      </c>
      <c r="AE66" s="30">
        <f t="shared" si="32"/>
        <v>0</v>
      </c>
      <c r="AF66" s="30">
        <f t="shared" si="32"/>
        <v>0</v>
      </c>
      <c r="AG66" s="30">
        <f t="shared" si="32"/>
        <v>0</v>
      </c>
      <c r="AI66" s="95">
        <f t="shared" si="33"/>
        <v>0</v>
      </c>
      <c r="AJ66" s="95">
        <f t="shared" si="34"/>
        <v>210942.6</v>
      </c>
      <c r="AK66" s="95">
        <f t="shared" si="35"/>
        <v>0</v>
      </c>
      <c r="AL66" s="95">
        <f t="shared" si="36"/>
        <v>0</v>
      </c>
      <c r="AM66" s="95">
        <f t="shared" si="37"/>
        <v>0</v>
      </c>
      <c r="AN66" s="95">
        <f t="shared" si="38"/>
        <v>0</v>
      </c>
      <c r="AO66" s="95">
        <f t="shared" si="39"/>
        <v>0</v>
      </c>
      <c r="AP66" s="95">
        <f t="shared" si="40"/>
        <v>0</v>
      </c>
      <c r="AQ66" s="95">
        <f t="shared" si="41"/>
        <v>0</v>
      </c>
      <c r="AR66" s="95">
        <f t="shared" si="42"/>
        <v>0</v>
      </c>
      <c r="AS66" s="95">
        <f t="shared" si="43"/>
        <v>0</v>
      </c>
    </row>
    <row r="67" spans="1:45" x14ac:dyDescent="0.2">
      <c r="A67" s="105" t="s">
        <v>95</v>
      </c>
      <c r="B67" s="42" t="s">
        <v>21</v>
      </c>
      <c r="C67" s="59">
        <v>24654</v>
      </c>
      <c r="D67" s="76">
        <v>8000</v>
      </c>
      <c r="E67" s="57" t="s">
        <v>115</v>
      </c>
      <c r="F67" s="67">
        <v>6.6699999999999995E-2</v>
      </c>
      <c r="G67" s="67">
        <v>3.3E-3</v>
      </c>
      <c r="H67" s="72">
        <f t="shared" si="26"/>
        <v>6.9999999999999993E-2</v>
      </c>
      <c r="I67" s="45">
        <v>35400</v>
      </c>
      <c r="J67" s="64">
        <v>37256</v>
      </c>
      <c r="K67">
        <v>366</v>
      </c>
      <c r="L67">
        <v>365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44"/>
        <v>2928000</v>
      </c>
      <c r="X67" s="30">
        <f t="shared" si="32"/>
        <v>2920000</v>
      </c>
      <c r="Y67" s="30">
        <f t="shared" si="32"/>
        <v>0</v>
      </c>
      <c r="Z67" s="30">
        <f t="shared" si="32"/>
        <v>0</v>
      </c>
      <c r="AA67" s="30">
        <f t="shared" si="32"/>
        <v>0</v>
      </c>
      <c r="AB67" s="30">
        <f t="shared" si="32"/>
        <v>0</v>
      </c>
      <c r="AC67" s="30">
        <f t="shared" si="32"/>
        <v>0</v>
      </c>
      <c r="AD67" s="30">
        <f t="shared" si="32"/>
        <v>0</v>
      </c>
      <c r="AE67" s="30">
        <f t="shared" si="32"/>
        <v>0</v>
      </c>
      <c r="AF67" s="30">
        <f t="shared" si="32"/>
        <v>0</v>
      </c>
      <c r="AG67" s="30">
        <f t="shared" si="32"/>
        <v>0</v>
      </c>
      <c r="AI67" s="95">
        <f t="shared" si="33"/>
        <v>204959.99999999997</v>
      </c>
      <c r="AJ67" s="95">
        <f t="shared" si="34"/>
        <v>204399.99999999997</v>
      </c>
      <c r="AK67" s="95">
        <f t="shared" si="35"/>
        <v>0</v>
      </c>
      <c r="AL67" s="95">
        <f t="shared" si="36"/>
        <v>0</v>
      </c>
      <c r="AM67" s="95">
        <f t="shared" si="37"/>
        <v>0</v>
      </c>
      <c r="AN67" s="95">
        <f t="shared" si="38"/>
        <v>0</v>
      </c>
      <c r="AO67" s="95">
        <f t="shared" si="39"/>
        <v>0</v>
      </c>
      <c r="AP67" s="95">
        <f t="shared" si="40"/>
        <v>0</v>
      </c>
      <c r="AQ67" s="95">
        <f t="shared" si="41"/>
        <v>0</v>
      </c>
      <c r="AR67" s="95">
        <f t="shared" si="42"/>
        <v>0</v>
      </c>
      <c r="AS67" s="95">
        <f t="shared" si="43"/>
        <v>0</v>
      </c>
    </row>
    <row r="68" spans="1:45" x14ac:dyDescent="0.2">
      <c r="A68" s="108" t="s">
        <v>95</v>
      </c>
      <c r="B68" s="40" t="s">
        <v>21</v>
      </c>
      <c r="C68" s="62">
        <v>24924</v>
      </c>
      <c r="D68" s="76">
        <v>25000</v>
      </c>
      <c r="E68" s="57" t="s">
        <v>115</v>
      </c>
      <c r="F68" s="67">
        <v>5.67E-2</v>
      </c>
      <c r="G68" s="67">
        <v>3.3E-3</v>
      </c>
      <c r="H68" s="72">
        <f t="shared" si="26"/>
        <v>0.06</v>
      </c>
      <c r="I68" s="45">
        <v>35309</v>
      </c>
      <c r="J68" s="64">
        <v>38017</v>
      </c>
      <c r="K68">
        <v>366</v>
      </c>
      <c r="L68">
        <v>365</v>
      </c>
      <c r="M68">
        <v>365</v>
      </c>
      <c r="N68">
        <v>365</v>
      </c>
      <c r="O68">
        <v>31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 s="30">
        <f t="shared" si="44"/>
        <v>9150000</v>
      </c>
      <c r="X68" s="30">
        <f t="shared" si="32"/>
        <v>9125000</v>
      </c>
      <c r="Y68" s="30">
        <f t="shared" si="32"/>
        <v>9125000</v>
      </c>
      <c r="Z68" s="30">
        <f t="shared" si="32"/>
        <v>9125000</v>
      </c>
      <c r="AA68" s="30">
        <f t="shared" si="32"/>
        <v>775000</v>
      </c>
      <c r="AB68" s="30">
        <f t="shared" si="32"/>
        <v>0</v>
      </c>
      <c r="AC68" s="30">
        <f t="shared" si="32"/>
        <v>0</v>
      </c>
      <c r="AD68" s="30">
        <f t="shared" si="32"/>
        <v>0</v>
      </c>
      <c r="AE68" s="30">
        <f t="shared" si="32"/>
        <v>0</v>
      </c>
      <c r="AF68" s="30">
        <f t="shared" si="32"/>
        <v>0</v>
      </c>
      <c r="AG68" s="30">
        <f t="shared" si="32"/>
        <v>0</v>
      </c>
      <c r="AI68" s="95">
        <f t="shared" si="33"/>
        <v>549000</v>
      </c>
      <c r="AJ68" s="95">
        <f t="shared" si="34"/>
        <v>547500</v>
      </c>
      <c r="AK68" s="95">
        <f t="shared" si="35"/>
        <v>547500</v>
      </c>
      <c r="AL68" s="95">
        <f t="shared" si="36"/>
        <v>547500</v>
      </c>
      <c r="AM68" s="95">
        <f t="shared" si="37"/>
        <v>46500</v>
      </c>
      <c r="AN68" s="95">
        <f t="shared" si="38"/>
        <v>0</v>
      </c>
      <c r="AO68" s="95">
        <f t="shared" si="39"/>
        <v>0</v>
      </c>
      <c r="AP68" s="95">
        <f t="shared" si="40"/>
        <v>0</v>
      </c>
      <c r="AQ68" s="95">
        <f t="shared" si="41"/>
        <v>0</v>
      </c>
      <c r="AR68" s="95">
        <f t="shared" si="42"/>
        <v>0</v>
      </c>
      <c r="AS68" s="95">
        <f t="shared" si="43"/>
        <v>0</v>
      </c>
    </row>
    <row r="69" spans="1:45" x14ac:dyDescent="0.2">
      <c r="A69" s="105" t="s">
        <v>95</v>
      </c>
      <c r="B69" s="40" t="s">
        <v>94</v>
      </c>
      <c r="C69" s="62">
        <v>24568</v>
      </c>
      <c r="D69" s="78">
        <v>32000</v>
      </c>
      <c r="E69" s="57" t="s">
        <v>115</v>
      </c>
      <c r="F69" s="67">
        <v>6.6699999999999995E-2</v>
      </c>
      <c r="G69" s="67">
        <v>3.3E-3</v>
      </c>
      <c r="H69" s="72">
        <f t="shared" si="26"/>
        <v>6.9999999999999993E-2</v>
      </c>
      <c r="I69" s="45">
        <v>35400</v>
      </c>
      <c r="J69" s="64">
        <v>37256</v>
      </c>
      <c r="K69">
        <v>366</v>
      </c>
      <c r="L69">
        <v>365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44"/>
        <v>11712000</v>
      </c>
      <c r="X69" s="30">
        <f t="shared" si="32"/>
        <v>11680000</v>
      </c>
      <c r="Y69" s="30">
        <f t="shared" si="32"/>
        <v>0</v>
      </c>
      <c r="Z69" s="30">
        <f t="shared" si="32"/>
        <v>0</v>
      </c>
      <c r="AA69" s="30">
        <f t="shared" si="32"/>
        <v>0</v>
      </c>
      <c r="AB69" s="30">
        <f t="shared" si="32"/>
        <v>0</v>
      </c>
      <c r="AC69" s="30">
        <f t="shared" si="32"/>
        <v>0</v>
      </c>
      <c r="AD69" s="30">
        <f t="shared" si="32"/>
        <v>0</v>
      </c>
      <c r="AE69" s="30">
        <f t="shared" si="32"/>
        <v>0</v>
      </c>
      <c r="AF69" s="30">
        <f t="shared" si="32"/>
        <v>0</v>
      </c>
      <c r="AG69" s="30">
        <f t="shared" si="32"/>
        <v>0</v>
      </c>
      <c r="AI69" s="95">
        <f t="shared" si="33"/>
        <v>819839.99999999988</v>
      </c>
      <c r="AJ69" s="95">
        <f t="shared" si="34"/>
        <v>817599.99999999988</v>
      </c>
      <c r="AK69" s="95">
        <f t="shared" si="35"/>
        <v>0</v>
      </c>
      <c r="AL69" s="95">
        <f t="shared" si="36"/>
        <v>0</v>
      </c>
      <c r="AM69" s="95">
        <f t="shared" si="37"/>
        <v>0</v>
      </c>
      <c r="AN69" s="95">
        <f t="shared" si="38"/>
        <v>0</v>
      </c>
      <c r="AO69" s="95">
        <f t="shared" si="39"/>
        <v>0</v>
      </c>
      <c r="AP69" s="95">
        <f t="shared" si="40"/>
        <v>0</v>
      </c>
      <c r="AQ69" s="95">
        <f t="shared" si="41"/>
        <v>0</v>
      </c>
      <c r="AR69" s="95">
        <f t="shared" si="42"/>
        <v>0</v>
      </c>
      <c r="AS69" s="95">
        <f t="shared" si="43"/>
        <v>0</v>
      </c>
    </row>
    <row r="70" spans="1:45" x14ac:dyDescent="0.2">
      <c r="A70" s="108" t="s">
        <v>95</v>
      </c>
      <c r="B70" s="42" t="s">
        <v>102</v>
      </c>
      <c r="C70" s="59">
        <v>24927</v>
      </c>
      <c r="D70" s="76">
        <v>30000</v>
      </c>
      <c r="E70" s="57" t="s">
        <v>115</v>
      </c>
      <c r="F70" s="67">
        <v>3.6700000000000003E-2</v>
      </c>
      <c r="G70" s="67">
        <v>3.3E-3</v>
      </c>
      <c r="H70" s="72">
        <f t="shared" si="26"/>
        <v>0.04</v>
      </c>
      <c r="I70" s="45">
        <v>35309</v>
      </c>
      <c r="J70" s="64">
        <v>38748</v>
      </c>
      <c r="K70">
        <v>366</v>
      </c>
      <c r="L70">
        <v>365</v>
      </c>
      <c r="M70">
        <v>365</v>
      </c>
      <c r="N70">
        <v>365</v>
      </c>
      <c r="O70">
        <v>366</v>
      </c>
      <c r="P70">
        <v>365</v>
      </c>
      <c r="Q70">
        <v>31</v>
      </c>
      <c r="R70">
        <v>0</v>
      </c>
      <c r="S70">
        <v>0</v>
      </c>
      <c r="T70">
        <v>0</v>
      </c>
      <c r="U70">
        <v>0</v>
      </c>
      <c r="W70" s="30">
        <f t="shared" si="44"/>
        <v>10980000</v>
      </c>
      <c r="X70" s="30">
        <f t="shared" si="32"/>
        <v>10950000</v>
      </c>
      <c r="Y70" s="30">
        <f t="shared" si="32"/>
        <v>10950000</v>
      </c>
      <c r="Z70" s="30">
        <f t="shared" si="32"/>
        <v>10950000</v>
      </c>
      <c r="AA70" s="30">
        <f t="shared" si="32"/>
        <v>10980000</v>
      </c>
      <c r="AB70" s="30">
        <f t="shared" si="32"/>
        <v>10950000</v>
      </c>
      <c r="AC70" s="30">
        <f t="shared" si="32"/>
        <v>930000</v>
      </c>
      <c r="AD70" s="30">
        <f t="shared" si="32"/>
        <v>0</v>
      </c>
      <c r="AE70" s="30">
        <f t="shared" si="32"/>
        <v>0</v>
      </c>
      <c r="AF70" s="30">
        <f t="shared" si="32"/>
        <v>0</v>
      </c>
      <c r="AG70" s="30">
        <f t="shared" si="32"/>
        <v>0</v>
      </c>
      <c r="AI70" s="95">
        <f t="shared" si="33"/>
        <v>439200</v>
      </c>
      <c r="AJ70" s="95">
        <f t="shared" si="34"/>
        <v>438000</v>
      </c>
      <c r="AK70" s="95">
        <f t="shared" si="35"/>
        <v>438000</v>
      </c>
      <c r="AL70" s="95">
        <f t="shared" si="36"/>
        <v>438000</v>
      </c>
      <c r="AM70" s="95">
        <f t="shared" si="37"/>
        <v>439200</v>
      </c>
      <c r="AN70" s="95">
        <f t="shared" si="38"/>
        <v>438000</v>
      </c>
      <c r="AO70" s="95">
        <f t="shared" si="39"/>
        <v>37200</v>
      </c>
      <c r="AP70" s="95">
        <f t="shared" si="40"/>
        <v>0</v>
      </c>
      <c r="AQ70" s="95">
        <f t="shared" si="41"/>
        <v>0</v>
      </c>
      <c r="AR70" s="95">
        <f t="shared" si="42"/>
        <v>0</v>
      </c>
      <c r="AS70" s="95">
        <f t="shared" si="43"/>
        <v>0</v>
      </c>
    </row>
    <row r="71" spans="1:45" x14ac:dyDescent="0.2">
      <c r="A71" s="108" t="s">
        <v>95</v>
      </c>
      <c r="B71" s="42" t="s">
        <v>98</v>
      </c>
      <c r="C71" s="59">
        <v>25397</v>
      </c>
      <c r="D71" s="76">
        <v>10000</v>
      </c>
      <c r="E71" s="57" t="s">
        <v>115</v>
      </c>
      <c r="F71" s="67">
        <v>2.8899999999999999E-2</v>
      </c>
      <c r="G71" s="67">
        <v>1.1000000000000001E-3</v>
      </c>
      <c r="H71" s="72">
        <f t="shared" si="26"/>
        <v>0.03</v>
      </c>
      <c r="I71" s="46">
        <v>35886</v>
      </c>
      <c r="J71" s="64">
        <v>37711</v>
      </c>
      <c r="K71">
        <v>366</v>
      </c>
      <c r="L71">
        <v>365</v>
      </c>
      <c r="M71">
        <v>365</v>
      </c>
      <c r="N71">
        <v>90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44"/>
        <v>3660000</v>
      </c>
      <c r="X71" s="30">
        <f t="shared" si="32"/>
        <v>3650000</v>
      </c>
      <c r="Y71" s="30">
        <f t="shared" si="32"/>
        <v>3650000</v>
      </c>
      <c r="Z71" s="30">
        <f t="shared" si="32"/>
        <v>900000</v>
      </c>
      <c r="AA71" s="30">
        <f t="shared" si="32"/>
        <v>0</v>
      </c>
      <c r="AB71" s="30">
        <f t="shared" si="32"/>
        <v>0</v>
      </c>
      <c r="AC71" s="30">
        <f t="shared" si="32"/>
        <v>0</v>
      </c>
      <c r="AD71" s="30">
        <f t="shared" si="32"/>
        <v>0</v>
      </c>
      <c r="AE71" s="30">
        <f t="shared" si="32"/>
        <v>0</v>
      </c>
      <c r="AF71" s="30">
        <f t="shared" si="32"/>
        <v>0</v>
      </c>
      <c r="AG71" s="30">
        <f t="shared" si="32"/>
        <v>0</v>
      </c>
      <c r="AI71" s="95">
        <f t="shared" si="33"/>
        <v>109800</v>
      </c>
      <c r="AJ71" s="95">
        <f t="shared" si="34"/>
        <v>109500</v>
      </c>
      <c r="AK71" s="95">
        <f t="shared" si="35"/>
        <v>109500</v>
      </c>
      <c r="AL71" s="95">
        <f t="shared" si="36"/>
        <v>27000</v>
      </c>
      <c r="AM71" s="95">
        <f t="shared" si="37"/>
        <v>0</v>
      </c>
      <c r="AN71" s="95">
        <f t="shared" si="38"/>
        <v>0</v>
      </c>
      <c r="AO71" s="95">
        <f t="shared" si="39"/>
        <v>0</v>
      </c>
      <c r="AP71" s="95">
        <f t="shared" si="40"/>
        <v>0</v>
      </c>
      <c r="AQ71" s="95">
        <f t="shared" si="41"/>
        <v>0</v>
      </c>
      <c r="AR71" s="95">
        <f t="shared" si="42"/>
        <v>0</v>
      </c>
      <c r="AS71" s="95">
        <f t="shared" si="43"/>
        <v>0</v>
      </c>
    </row>
    <row r="72" spans="1:45" x14ac:dyDescent="0.2">
      <c r="A72" s="108" t="s">
        <v>95</v>
      </c>
      <c r="B72" s="42" t="s">
        <v>103</v>
      </c>
      <c r="C72" s="59">
        <v>27047</v>
      </c>
      <c r="D72" s="76">
        <v>125000</v>
      </c>
      <c r="E72" s="58" t="s">
        <v>120</v>
      </c>
      <c r="F72" s="67">
        <v>3.6600000000000001E-2</v>
      </c>
      <c r="G72" s="67">
        <v>3.3E-3</v>
      </c>
      <c r="H72" s="72">
        <f t="shared" si="26"/>
        <v>3.9899999999999998E-2</v>
      </c>
      <c r="I72" s="46">
        <v>36557</v>
      </c>
      <c r="J72" s="64">
        <v>38717</v>
      </c>
      <c r="K72">
        <v>335</v>
      </c>
      <c r="L72">
        <v>365</v>
      </c>
      <c r="M72">
        <v>365</v>
      </c>
      <c r="N72">
        <v>365</v>
      </c>
      <c r="O72">
        <v>366</v>
      </c>
      <c r="P72">
        <v>365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44"/>
        <v>41875000</v>
      </c>
      <c r="X72" s="30">
        <f t="shared" si="32"/>
        <v>45625000</v>
      </c>
      <c r="Y72" s="30">
        <f t="shared" si="32"/>
        <v>45625000</v>
      </c>
      <c r="Z72" s="30">
        <f t="shared" si="32"/>
        <v>45625000</v>
      </c>
      <c r="AA72" s="30">
        <f t="shared" si="32"/>
        <v>45750000</v>
      </c>
      <c r="AB72" s="30">
        <f t="shared" si="32"/>
        <v>45625000</v>
      </c>
      <c r="AC72" s="30">
        <f t="shared" si="32"/>
        <v>0</v>
      </c>
      <c r="AD72" s="30">
        <f t="shared" si="32"/>
        <v>0</v>
      </c>
      <c r="AE72" s="30">
        <f t="shared" si="32"/>
        <v>0</v>
      </c>
      <c r="AF72" s="30">
        <f t="shared" si="32"/>
        <v>0</v>
      </c>
      <c r="AG72" s="30">
        <f t="shared" si="32"/>
        <v>0</v>
      </c>
      <c r="AI72" s="95">
        <f t="shared" si="33"/>
        <v>1670812.5</v>
      </c>
      <c r="AJ72" s="95">
        <f t="shared" si="34"/>
        <v>1820437.5</v>
      </c>
      <c r="AK72" s="95">
        <f t="shared" si="35"/>
        <v>1820437.5</v>
      </c>
      <c r="AL72" s="95">
        <f t="shared" si="36"/>
        <v>1820437.5</v>
      </c>
      <c r="AM72" s="95">
        <f t="shared" si="37"/>
        <v>1825425</v>
      </c>
      <c r="AN72" s="95">
        <f t="shared" si="38"/>
        <v>1820437.5</v>
      </c>
      <c r="AO72" s="95">
        <f t="shared" si="39"/>
        <v>0</v>
      </c>
      <c r="AP72" s="95">
        <f t="shared" si="40"/>
        <v>0</v>
      </c>
      <c r="AQ72" s="95">
        <f t="shared" si="41"/>
        <v>0</v>
      </c>
      <c r="AR72" s="95">
        <f t="shared" si="42"/>
        <v>0</v>
      </c>
      <c r="AS72" s="95">
        <f t="shared" si="43"/>
        <v>0</v>
      </c>
    </row>
    <row r="73" spans="1:45" x14ac:dyDescent="0.2">
      <c r="A73" s="108" t="s">
        <v>95</v>
      </c>
      <c r="B73" s="42" t="s">
        <v>100</v>
      </c>
      <c r="C73" s="59">
        <v>27342</v>
      </c>
      <c r="D73" s="76">
        <v>30000</v>
      </c>
      <c r="E73" s="57" t="s">
        <v>115</v>
      </c>
      <c r="F73" s="67">
        <v>5.8900000000000001E-2</v>
      </c>
      <c r="G73" s="67">
        <v>1.1000000000000001E-3</v>
      </c>
      <c r="H73" s="72">
        <f t="shared" si="26"/>
        <v>0.06</v>
      </c>
      <c r="I73" s="46">
        <v>36892</v>
      </c>
      <c r="J73" s="64">
        <v>37256</v>
      </c>
      <c r="K73">
        <v>0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44"/>
        <v>0</v>
      </c>
      <c r="X73" s="30">
        <f t="shared" si="32"/>
        <v>10950000</v>
      </c>
      <c r="Y73" s="30">
        <f t="shared" si="32"/>
        <v>0</v>
      </c>
      <c r="Z73" s="30">
        <f t="shared" si="32"/>
        <v>0</v>
      </c>
      <c r="AA73" s="30">
        <f t="shared" si="32"/>
        <v>0</v>
      </c>
      <c r="AB73" s="30">
        <f t="shared" si="32"/>
        <v>0</v>
      </c>
      <c r="AC73" s="30">
        <f t="shared" si="32"/>
        <v>0</v>
      </c>
      <c r="AD73" s="30">
        <f t="shared" si="32"/>
        <v>0</v>
      </c>
      <c r="AE73" s="30">
        <f t="shared" si="32"/>
        <v>0</v>
      </c>
      <c r="AF73" s="30">
        <f t="shared" si="32"/>
        <v>0</v>
      </c>
      <c r="AG73" s="30">
        <f t="shared" si="32"/>
        <v>0</v>
      </c>
      <c r="AI73" s="95">
        <f t="shared" si="33"/>
        <v>0</v>
      </c>
      <c r="AJ73" s="95">
        <f t="shared" si="34"/>
        <v>657000</v>
      </c>
      <c r="AK73" s="95">
        <f t="shared" si="35"/>
        <v>0</v>
      </c>
      <c r="AL73" s="95">
        <f t="shared" si="36"/>
        <v>0</v>
      </c>
      <c r="AM73" s="95">
        <f t="shared" si="37"/>
        <v>0</v>
      </c>
      <c r="AN73" s="95">
        <f t="shared" si="38"/>
        <v>0</v>
      </c>
      <c r="AO73" s="95">
        <f t="shared" si="39"/>
        <v>0</v>
      </c>
      <c r="AP73" s="95">
        <f t="shared" si="40"/>
        <v>0</v>
      </c>
      <c r="AQ73" s="95">
        <f t="shared" si="41"/>
        <v>0</v>
      </c>
      <c r="AR73" s="95">
        <f t="shared" si="42"/>
        <v>0</v>
      </c>
      <c r="AS73" s="95">
        <f t="shared" si="43"/>
        <v>0</v>
      </c>
    </row>
    <row r="74" spans="1:45" x14ac:dyDescent="0.2">
      <c r="A74" s="108" t="s">
        <v>95</v>
      </c>
      <c r="B74" s="42" t="s">
        <v>99</v>
      </c>
      <c r="C74" s="59">
        <v>26044</v>
      </c>
      <c r="D74" s="76">
        <v>85000</v>
      </c>
      <c r="E74" s="57" t="s">
        <v>115</v>
      </c>
      <c r="F74" s="67">
        <v>2.8899999999999999E-2</v>
      </c>
      <c r="G74" s="67">
        <v>1.1000000000000001E-3</v>
      </c>
      <c r="H74" s="72">
        <f t="shared" si="26"/>
        <v>0.03</v>
      </c>
      <c r="I74" s="46">
        <v>35886</v>
      </c>
      <c r="J74" s="64">
        <v>37925</v>
      </c>
      <c r="K74">
        <v>366</v>
      </c>
      <c r="L74">
        <v>365</v>
      </c>
      <c r="M74">
        <v>365</v>
      </c>
      <c r="N74">
        <v>304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44"/>
        <v>31110000</v>
      </c>
      <c r="X74" s="30">
        <f t="shared" si="32"/>
        <v>31025000</v>
      </c>
      <c r="Y74" s="30">
        <f t="shared" si="32"/>
        <v>31025000</v>
      </c>
      <c r="Z74" s="30">
        <f t="shared" si="32"/>
        <v>25840000</v>
      </c>
      <c r="AA74" s="30">
        <f t="shared" si="32"/>
        <v>0</v>
      </c>
      <c r="AB74" s="30">
        <f t="shared" si="32"/>
        <v>0</v>
      </c>
      <c r="AC74" s="30">
        <f t="shared" si="32"/>
        <v>0</v>
      </c>
      <c r="AD74" s="30">
        <f t="shared" si="32"/>
        <v>0</v>
      </c>
      <c r="AE74" s="30">
        <f t="shared" si="32"/>
        <v>0</v>
      </c>
      <c r="AF74" s="30">
        <f t="shared" si="32"/>
        <v>0</v>
      </c>
      <c r="AG74" s="30">
        <f t="shared" si="32"/>
        <v>0</v>
      </c>
      <c r="AI74" s="95">
        <f t="shared" si="33"/>
        <v>933300</v>
      </c>
      <c r="AJ74" s="95">
        <f t="shared" si="34"/>
        <v>930750</v>
      </c>
      <c r="AK74" s="95">
        <f t="shared" si="35"/>
        <v>930750</v>
      </c>
      <c r="AL74" s="95">
        <f t="shared" si="36"/>
        <v>775200</v>
      </c>
      <c r="AM74" s="95">
        <f t="shared" si="37"/>
        <v>0</v>
      </c>
      <c r="AN74" s="95">
        <f t="shared" si="38"/>
        <v>0</v>
      </c>
      <c r="AO74" s="95">
        <f t="shared" si="39"/>
        <v>0</v>
      </c>
      <c r="AP74" s="95">
        <f t="shared" si="40"/>
        <v>0</v>
      </c>
      <c r="AQ74" s="95">
        <f t="shared" si="41"/>
        <v>0</v>
      </c>
      <c r="AR74" s="95">
        <f t="shared" si="42"/>
        <v>0</v>
      </c>
      <c r="AS74" s="95">
        <f t="shared" si="43"/>
        <v>0</v>
      </c>
    </row>
    <row r="75" spans="1:45" x14ac:dyDescent="0.2">
      <c r="A75" s="108" t="s">
        <v>95</v>
      </c>
      <c r="B75" s="42" t="s">
        <v>99</v>
      </c>
      <c r="C75" s="59">
        <v>26436</v>
      </c>
      <c r="D75" s="76">
        <v>59000</v>
      </c>
      <c r="E75" s="57" t="s">
        <v>115</v>
      </c>
      <c r="F75" s="67">
        <v>4.8899999999999999E-2</v>
      </c>
      <c r="G75" s="67">
        <v>1.1000000000000001E-3</v>
      </c>
      <c r="H75" s="72">
        <f t="shared" si="26"/>
        <v>4.9999999999999996E-2</v>
      </c>
      <c r="I75" s="46">
        <v>36100</v>
      </c>
      <c r="J75" s="64">
        <v>37925</v>
      </c>
      <c r="K75">
        <v>366</v>
      </c>
      <c r="L75">
        <v>365</v>
      </c>
      <c r="M75">
        <v>365</v>
      </c>
      <c r="N75">
        <v>304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44"/>
        <v>21594000</v>
      </c>
      <c r="X75" s="30">
        <f t="shared" si="32"/>
        <v>21535000</v>
      </c>
      <c r="Y75" s="30">
        <f t="shared" si="32"/>
        <v>21535000</v>
      </c>
      <c r="Z75" s="30">
        <f t="shared" si="32"/>
        <v>17936000</v>
      </c>
      <c r="AA75" s="30">
        <f t="shared" si="32"/>
        <v>0</v>
      </c>
      <c r="AB75" s="30">
        <f t="shared" si="32"/>
        <v>0</v>
      </c>
      <c r="AC75" s="30">
        <f t="shared" si="32"/>
        <v>0</v>
      </c>
      <c r="AD75" s="30">
        <f t="shared" si="32"/>
        <v>0</v>
      </c>
      <c r="AE75" s="30">
        <f t="shared" si="32"/>
        <v>0</v>
      </c>
      <c r="AF75" s="30">
        <f t="shared" si="32"/>
        <v>0</v>
      </c>
      <c r="AG75" s="30">
        <f t="shared" si="32"/>
        <v>0</v>
      </c>
      <c r="AI75" s="95">
        <f t="shared" si="33"/>
        <v>1079700</v>
      </c>
      <c r="AJ75" s="95">
        <f t="shared" si="34"/>
        <v>1076750</v>
      </c>
      <c r="AK75" s="95">
        <f t="shared" si="35"/>
        <v>1076750</v>
      </c>
      <c r="AL75" s="95">
        <f t="shared" si="36"/>
        <v>896799.99999999988</v>
      </c>
      <c r="AM75" s="95">
        <f t="shared" si="37"/>
        <v>0</v>
      </c>
      <c r="AN75" s="95">
        <f t="shared" si="38"/>
        <v>0</v>
      </c>
      <c r="AO75" s="95">
        <f t="shared" si="39"/>
        <v>0</v>
      </c>
      <c r="AP75" s="95">
        <f t="shared" si="40"/>
        <v>0</v>
      </c>
      <c r="AQ75" s="95">
        <f t="shared" si="41"/>
        <v>0</v>
      </c>
      <c r="AR75" s="95">
        <f t="shared" si="42"/>
        <v>0</v>
      </c>
      <c r="AS75" s="95">
        <f t="shared" si="43"/>
        <v>0</v>
      </c>
    </row>
    <row r="76" spans="1:45" x14ac:dyDescent="0.2">
      <c r="A76" s="108" t="s">
        <v>95</v>
      </c>
      <c r="B76" s="42" t="s">
        <v>101</v>
      </c>
      <c r="C76" s="59">
        <v>24669</v>
      </c>
      <c r="D76" s="76">
        <v>12500</v>
      </c>
      <c r="E76" s="57" t="s">
        <v>119</v>
      </c>
      <c r="F76" s="67">
        <v>5.67E-2</v>
      </c>
      <c r="G76" s="67">
        <v>3.3E-3</v>
      </c>
      <c r="H76" s="72">
        <f t="shared" si="26"/>
        <v>0.06</v>
      </c>
      <c r="I76" s="45">
        <v>35309</v>
      </c>
      <c r="J76" s="64">
        <v>38748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31</v>
      </c>
      <c r="R76">
        <v>0</v>
      </c>
      <c r="S76">
        <v>0</v>
      </c>
      <c r="T76">
        <v>0</v>
      </c>
      <c r="U76">
        <v>0</v>
      </c>
      <c r="W76" s="30">
        <f t="shared" si="44"/>
        <v>4575000</v>
      </c>
      <c r="X76" s="30">
        <f t="shared" si="32"/>
        <v>4562500</v>
      </c>
      <c r="Y76" s="30">
        <f t="shared" si="32"/>
        <v>4562500</v>
      </c>
      <c r="Z76" s="30">
        <f t="shared" si="32"/>
        <v>4562500</v>
      </c>
      <c r="AA76" s="30">
        <f t="shared" si="32"/>
        <v>4575000</v>
      </c>
      <c r="AB76" s="30">
        <f t="shared" si="32"/>
        <v>4562500</v>
      </c>
      <c r="AC76" s="30">
        <f t="shared" si="32"/>
        <v>387500</v>
      </c>
      <c r="AD76" s="30">
        <f t="shared" si="32"/>
        <v>0</v>
      </c>
      <c r="AE76" s="30">
        <f t="shared" si="32"/>
        <v>0</v>
      </c>
      <c r="AF76" s="30">
        <f t="shared" si="32"/>
        <v>0</v>
      </c>
      <c r="AG76" s="30">
        <f t="shared" si="32"/>
        <v>0</v>
      </c>
      <c r="AI76" s="95">
        <f t="shared" si="33"/>
        <v>274500</v>
      </c>
      <c r="AJ76" s="95">
        <f t="shared" si="34"/>
        <v>273750</v>
      </c>
      <c r="AK76" s="95">
        <f t="shared" si="35"/>
        <v>273750</v>
      </c>
      <c r="AL76" s="95">
        <f t="shared" si="36"/>
        <v>273750</v>
      </c>
      <c r="AM76" s="95">
        <f t="shared" si="37"/>
        <v>274500</v>
      </c>
      <c r="AN76" s="95">
        <f t="shared" si="38"/>
        <v>273750</v>
      </c>
      <c r="AO76" s="95">
        <f t="shared" si="39"/>
        <v>23250</v>
      </c>
      <c r="AP76" s="95">
        <f t="shared" si="40"/>
        <v>0</v>
      </c>
      <c r="AQ76" s="95">
        <f t="shared" si="41"/>
        <v>0</v>
      </c>
      <c r="AR76" s="95">
        <f t="shared" si="42"/>
        <v>0</v>
      </c>
      <c r="AS76" s="95">
        <f t="shared" si="43"/>
        <v>0</v>
      </c>
    </row>
    <row r="77" spans="1:45" x14ac:dyDescent="0.2">
      <c r="A77" s="108" t="s">
        <v>95</v>
      </c>
      <c r="B77" s="42" t="s">
        <v>104</v>
      </c>
      <c r="C77" s="59">
        <v>27344</v>
      </c>
      <c r="D77" s="76">
        <v>13500</v>
      </c>
      <c r="E77" s="57" t="s">
        <v>115</v>
      </c>
      <c r="F77" s="67">
        <v>4.1700000000000001E-2</v>
      </c>
      <c r="G77" s="67">
        <v>3.3E-3</v>
      </c>
      <c r="H77" s="72">
        <f t="shared" si="26"/>
        <v>4.4999999999999998E-2</v>
      </c>
      <c r="I77" s="46">
        <v>36892</v>
      </c>
      <c r="J77" s="64">
        <v>37621</v>
      </c>
      <c r="K77">
        <v>0</v>
      </c>
      <c r="L77">
        <v>365</v>
      </c>
      <c r="M77">
        <v>365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44"/>
        <v>0</v>
      </c>
      <c r="X77" s="30">
        <f t="shared" ref="X77:AG78" si="45">+L77*$D77</f>
        <v>4927500</v>
      </c>
      <c r="Y77" s="30">
        <f t="shared" si="45"/>
        <v>4927500</v>
      </c>
      <c r="Z77" s="30">
        <f t="shared" si="45"/>
        <v>0</v>
      </c>
      <c r="AA77" s="30">
        <f t="shared" si="45"/>
        <v>0</v>
      </c>
      <c r="AB77" s="30">
        <f t="shared" si="45"/>
        <v>0</v>
      </c>
      <c r="AC77" s="30">
        <f t="shared" si="45"/>
        <v>0</v>
      </c>
      <c r="AD77" s="30">
        <f t="shared" si="45"/>
        <v>0</v>
      </c>
      <c r="AE77" s="30">
        <f t="shared" si="45"/>
        <v>0</v>
      </c>
      <c r="AF77" s="30">
        <f t="shared" si="45"/>
        <v>0</v>
      </c>
      <c r="AG77" s="30">
        <f t="shared" si="45"/>
        <v>0</v>
      </c>
      <c r="AI77" s="95">
        <f t="shared" si="33"/>
        <v>0</v>
      </c>
      <c r="AJ77" s="95">
        <f t="shared" si="34"/>
        <v>221737.5</v>
      </c>
      <c r="AK77" s="95">
        <f t="shared" si="35"/>
        <v>221737.5</v>
      </c>
      <c r="AL77" s="95">
        <f t="shared" si="36"/>
        <v>0</v>
      </c>
      <c r="AM77" s="95">
        <f t="shared" si="37"/>
        <v>0</v>
      </c>
      <c r="AN77" s="95">
        <f t="shared" si="38"/>
        <v>0</v>
      </c>
      <c r="AO77" s="95">
        <f t="shared" si="39"/>
        <v>0</v>
      </c>
      <c r="AP77" s="95">
        <f t="shared" si="40"/>
        <v>0</v>
      </c>
      <c r="AQ77" s="95">
        <f t="shared" si="41"/>
        <v>0</v>
      </c>
      <c r="AR77" s="95">
        <f t="shared" si="42"/>
        <v>0</v>
      </c>
      <c r="AS77" s="95">
        <f t="shared" si="43"/>
        <v>0</v>
      </c>
    </row>
    <row r="78" spans="1:45" x14ac:dyDescent="0.2">
      <c r="A78" s="108" t="s">
        <v>95</v>
      </c>
      <c r="B78" s="42" t="s">
        <v>97</v>
      </c>
      <c r="C78" s="59">
        <v>24925</v>
      </c>
      <c r="D78" s="76">
        <v>100000</v>
      </c>
      <c r="E78" s="57" t="s">
        <v>115</v>
      </c>
      <c r="F78" s="67">
        <v>5.67E-2</v>
      </c>
      <c r="G78" s="67">
        <v>3.3E-3</v>
      </c>
      <c r="H78" s="72">
        <f t="shared" si="26"/>
        <v>0.06</v>
      </c>
      <c r="I78" s="45">
        <v>35309</v>
      </c>
      <c r="J78" s="64">
        <v>38017</v>
      </c>
      <c r="K78">
        <v>366</v>
      </c>
      <c r="L78">
        <v>365</v>
      </c>
      <c r="M78">
        <v>365</v>
      </c>
      <c r="N78">
        <v>365</v>
      </c>
      <c r="O78">
        <v>31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 s="30">
        <f t="shared" si="44"/>
        <v>36600000</v>
      </c>
      <c r="X78" s="30">
        <f t="shared" si="45"/>
        <v>36500000</v>
      </c>
      <c r="Y78" s="30">
        <f t="shared" si="45"/>
        <v>36500000</v>
      </c>
      <c r="Z78" s="30">
        <f t="shared" si="45"/>
        <v>36500000</v>
      </c>
      <c r="AA78" s="30">
        <f t="shared" si="45"/>
        <v>3100000</v>
      </c>
      <c r="AB78" s="30">
        <f t="shared" si="45"/>
        <v>0</v>
      </c>
      <c r="AC78" s="30">
        <f t="shared" si="45"/>
        <v>0</v>
      </c>
      <c r="AD78" s="30">
        <f t="shared" si="45"/>
        <v>0</v>
      </c>
      <c r="AE78" s="30">
        <f t="shared" si="45"/>
        <v>0</v>
      </c>
      <c r="AF78" s="30">
        <f t="shared" si="45"/>
        <v>0</v>
      </c>
      <c r="AG78" s="30">
        <f t="shared" si="45"/>
        <v>0</v>
      </c>
      <c r="AI78" s="95">
        <f t="shared" si="33"/>
        <v>2196000</v>
      </c>
      <c r="AJ78" s="95">
        <f t="shared" si="34"/>
        <v>2190000</v>
      </c>
      <c r="AK78" s="95">
        <f t="shared" si="35"/>
        <v>2190000</v>
      </c>
      <c r="AL78" s="95">
        <f t="shared" si="36"/>
        <v>2190000</v>
      </c>
      <c r="AM78" s="95">
        <f t="shared" si="37"/>
        <v>186000</v>
      </c>
      <c r="AN78" s="95">
        <f t="shared" si="38"/>
        <v>0</v>
      </c>
      <c r="AO78" s="95">
        <f t="shared" si="39"/>
        <v>0</v>
      </c>
      <c r="AP78" s="95">
        <f t="shared" si="40"/>
        <v>0</v>
      </c>
      <c r="AQ78" s="95">
        <f t="shared" si="41"/>
        <v>0</v>
      </c>
      <c r="AR78" s="95">
        <f t="shared" si="42"/>
        <v>0</v>
      </c>
      <c r="AS78" s="95">
        <f t="shared" si="43"/>
        <v>0</v>
      </c>
    </row>
    <row r="79" spans="1:45" x14ac:dyDescent="0.2">
      <c r="A79" s="10" t="s">
        <v>24</v>
      </c>
      <c r="C79"/>
      <c r="D79" s="73"/>
      <c r="E79" s="11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3"/>
      <c r="S79" s="93"/>
      <c r="T79" s="93"/>
      <c r="U79" s="93"/>
      <c r="V79" s="93"/>
      <c r="W79" s="93">
        <f>SUM(W61:W78)</f>
        <v>201634000</v>
      </c>
      <c r="X79" s="93">
        <f t="shared" ref="X79:AG79" si="46">SUM(X61:X78)</f>
        <v>237516800</v>
      </c>
      <c r="Y79" s="93">
        <f t="shared" si="46"/>
        <v>209875000</v>
      </c>
      <c r="Z79" s="93">
        <f t="shared" si="46"/>
        <v>193413500</v>
      </c>
      <c r="AA79" s="93">
        <f t="shared" si="46"/>
        <v>87140000</v>
      </c>
      <c r="AB79" s="93">
        <f t="shared" si="46"/>
        <v>83037500</v>
      </c>
      <c r="AC79" s="93">
        <f t="shared" si="46"/>
        <v>23217500</v>
      </c>
      <c r="AD79" s="93">
        <f t="shared" si="46"/>
        <v>21900000</v>
      </c>
      <c r="AE79" s="93">
        <f t="shared" si="46"/>
        <v>20100000</v>
      </c>
      <c r="AF79" s="93">
        <f t="shared" si="46"/>
        <v>0</v>
      </c>
      <c r="AG79" s="93">
        <f t="shared" si="46"/>
        <v>0</v>
      </c>
      <c r="AH79" s="95"/>
      <c r="AI79" s="95">
        <f>SUM(AI61:AI78)</f>
        <v>9622162.5</v>
      </c>
      <c r="AJ79" s="95">
        <f t="shared" ref="AJ79:AS79" si="47">SUM(AJ61:AJ78)</f>
        <v>11699553.6</v>
      </c>
      <c r="AK79" s="95">
        <f t="shared" si="47"/>
        <v>10773157.5</v>
      </c>
      <c r="AL79" s="95">
        <f t="shared" si="47"/>
        <v>10133420</v>
      </c>
      <c r="AM79" s="95">
        <f t="shared" si="47"/>
        <v>3869625</v>
      </c>
      <c r="AN79" s="95">
        <f t="shared" si="47"/>
        <v>3627187.5</v>
      </c>
      <c r="AO79" s="95">
        <f t="shared" si="47"/>
        <v>1155450</v>
      </c>
      <c r="AP79" s="95">
        <f t="shared" si="47"/>
        <v>1095000</v>
      </c>
      <c r="AQ79" s="95">
        <f t="shared" si="47"/>
        <v>1004999.9999999999</v>
      </c>
      <c r="AR79" s="95">
        <f t="shared" si="47"/>
        <v>0</v>
      </c>
      <c r="AS79" s="95">
        <f t="shared" si="47"/>
        <v>0</v>
      </c>
    </row>
    <row r="80" spans="1:45" x14ac:dyDescent="0.2">
      <c r="C80"/>
      <c r="D80"/>
      <c r="E80" s="11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</row>
    <row r="81" spans="1:45" x14ac:dyDescent="0.2">
      <c r="A81" s="10" t="s">
        <v>79</v>
      </c>
      <c r="C81"/>
      <c r="D81" s="96">
        <v>0.12071516913650263</v>
      </c>
      <c r="E81" s="11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3"/>
      <c r="S81" s="93"/>
      <c r="T81" s="93"/>
      <c r="U81" s="93"/>
      <c r="V81" s="93"/>
      <c r="W81" s="93">
        <f>SUM(W61:W78)</f>
        <v>201634000</v>
      </c>
      <c r="X81" s="93">
        <f t="shared" ref="X81:AG81" si="48">SUM(X61:X78)</f>
        <v>237516800</v>
      </c>
      <c r="Y81" s="93">
        <f t="shared" si="48"/>
        <v>209875000</v>
      </c>
      <c r="Z81" s="93">
        <f t="shared" si="48"/>
        <v>193413500</v>
      </c>
      <c r="AA81" s="93">
        <f t="shared" si="48"/>
        <v>87140000</v>
      </c>
      <c r="AB81" s="93">
        <f t="shared" si="48"/>
        <v>83037500</v>
      </c>
      <c r="AC81" s="93">
        <f t="shared" si="48"/>
        <v>23217500</v>
      </c>
      <c r="AD81" s="93">
        <f t="shared" si="48"/>
        <v>21900000</v>
      </c>
      <c r="AE81" s="93">
        <f t="shared" si="48"/>
        <v>20100000</v>
      </c>
      <c r="AF81" s="93">
        <f t="shared" si="48"/>
        <v>0</v>
      </c>
      <c r="AG81" s="93">
        <f t="shared" si="48"/>
        <v>0</v>
      </c>
      <c r="AH81" s="98"/>
      <c r="AI81" s="98"/>
      <c r="AJ81" s="98"/>
      <c r="AK81" s="98"/>
      <c r="AL81" s="98"/>
      <c r="AM81" s="98"/>
      <c r="AN81" s="31"/>
      <c r="AO81" s="31"/>
    </row>
    <row r="82" spans="1:45" x14ac:dyDescent="0.2">
      <c r="A82" s="10" t="s">
        <v>60</v>
      </c>
      <c r="C82"/>
      <c r="D82" s="73"/>
      <c r="E82" s="11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3"/>
      <c r="S82" s="93"/>
      <c r="T82" s="93"/>
      <c r="U82" s="93"/>
      <c r="V82" s="93"/>
      <c r="W82" s="93">
        <f>+W81/K6</f>
        <v>550912.56830601091</v>
      </c>
      <c r="X82" s="93">
        <f t="shared" ref="X82:AG82" si="49">+X81/L6</f>
        <v>650730.95890410955</v>
      </c>
      <c r="Y82" s="93">
        <f t="shared" si="49"/>
        <v>575000</v>
      </c>
      <c r="Z82" s="93">
        <f t="shared" si="49"/>
        <v>529900</v>
      </c>
      <c r="AA82" s="93">
        <f t="shared" si="49"/>
        <v>238087.43169398909</v>
      </c>
      <c r="AB82" s="93">
        <f t="shared" si="49"/>
        <v>227500</v>
      </c>
      <c r="AC82" s="93">
        <f t="shared" si="49"/>
        <v>63609.589041095889</v>
      </c>
      <c r="AD82" s="93">
        <f t="shared" si="49"/>
        <v>60000</v>
      </c>
      <c r="AE82" s="93">
        <f t="shared" si="49"/>
        <v>54918.032786885247</v>
      </c>
      <c r="AF82" s="93">
        <f t="shared" si="49"/>
        <v>0</v>
      </c>
      <c r="AG82" s="93">
        <f t="shared" si="49"/>
        <v>0</v>
      </c>
      <c r="AH82" s="98"/>
      <c r="AI82" s="98"/>
      <c r="AJ82" s="98"/>
      <c r="AK82" s="98"/>
      <c r="AL82" s="98"/>
      <c r="AM82" s="98"/>
      <c r="AN82" s="31"/>
      <c r="AO82" s="31"/>
    </row>
    <row r="83" spans="1:45" x14ac:dyDescent="0.2">
      <c r="A83" s="10" t="s">
        <v>66</v>
      </c>
      <c r="C83"/>
      <c r="D83" s="96">
        <v>8.6777386708011203E-2</v>
      </c>
      <c r="E83" s="11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3"/>
      <c r="S83" s="93"/>
      <c r="T83" s="93"/>
      <c r="U83" s="93"/>
      <c r="V83" s="93"/>
      <c r="W83" s="93">
        <f>705000-W82</f>
        <v>154087.43169398909</v>
      </c>
      <c r="X83" s="93">
        <f t="shared" ref="X83:AG83" si="50">705000-X82</f>
        <v>54269.041095890454</v>
      </c>
      <c r="Y83" s="93">
        <f t="shared" si="50"/>
        <v>130000</v>
      </c>
      <c r="Z83" s="93">
        <f t="shared" si="50"/>
        <v>175100</v>
      </c>
      <c r="AA83" s="93">
        <f t="shared" si="50"/>
        <v>466912.56830601091</v>
      </c>
      <c r="AB83" s="93">
        <f t="shared" si="50"/>
        <v>477500</v>
      </c>
      <c r="AC83" s="93">
        <f t="shared" si="50"/>
        <v>641390.41095890407</v>
      </c>
      <c r="AD83" s="93">
        <f t="shared" si="50"/>
        <v>645000</v>
      </c>
      <c r="AE83" s="93">
        <f t="shared" si="50"/>
        <v>650081.96721311472</v>
      </c>
      <c r="AF83" s="93">
        <f t="shared" si="50"/>
        <v>705000</v>
      </c>
      <c r="AG83" s="93">
        <f t="shared" si="50"/>
        <v>705000</v>
      </c>
      <c r="AH83" s="95"/>
      <c r="AI83" s="95"/>
      <c r="AJ83" s="95"/>
      <c r="AK83" s="95"/>
      <c r="AL83" s="95"/>
      <c r="AM83" s="95"/>
    </row>
    <row r="84" spans="1:45" x14ac:dyDescent="0.2">
      <c r="A84" s="10" t="s">
        <v>140</v>
      </c>
      <c r="C84"/>
      <c r="D84" s="97"/>
      <c r="E84" s="11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3"/>
      <c r="S84" s="93"/>
      <c r="T84" s="93"/>
      <c r="U84" s="93"/>
      <c r="V84" s="93"/>
      <c r="W84" s="93"/>
      <c r="X84" s="93"/>
      <c r="Y84" s="93"/>
      <c r="Z84" s="93"/>
      <c r="AA84" s="93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</row>
    <row r="85" spans="1:45" x14ac:dyDescent="0.2">
      <c r="A85" s="10"/>
      <c r="C85"/>
      <c r="D85" s="97"/>
      <c r="E85" s="11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3"/>
      <c r="S85" s="93"/>
      <c r="T85" s="93"/>
      <c r="U85" s="93"/>
      <c r="V85" s="93"/>
      <c r="W85" s="93"/>
      <c r="X85" s="93"/>
      <c r="Y85" s="93"/>
      <c r="Z85" s="93"/>
      <c r="AA85" s="93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</row>
    <row r="86" spans="1:45" x14ac:dyDescent="0.2">
      <c r="A86" s="10"/>
      <c r="C86"/>
      <c r="D86" s="97"/>
      <c r="E86" s="11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3"/>
      <c r="S86" s="93"/>
      <c r="T86" s="93"/>
      <c r="U86" s="93"/>
      <c r="V86" s="93"/>
      <c r="W86" s="93"/>
      <c r="X86" s="93"/>
      <c r="Y86" s="93"/>
      <c r="Z86" s="93"/>
      <c r="AA86" s="93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</row>
    <row r="87" spans="1:45" x14ac:dyDescent="0.2">
      <c r="K87" s="127" t="s">
        <v>3</v>
      </c>
      <c r="L87" s="128"/>
      <c r="M87" s="128"/>
      <c r="N87" s="128"/>
      <c r="O87" s="128"/>
      <c r="P87" s="128"/>
      <c r="Q87" s="128"/>
      <c r="R87" s="128"/>
      <c r="S87" s="128"/>
      <c r="T87" s="128"/>
      <c r="U87" s="129"/>
      <c r="V87" s="3"/>
      <c r="W87" s="130" t="s">
        <v>4</v>
      </c>
      <c r="X87" s="131"/>
      <c r="Y87" s="131"/>
      <c r="Z87" s="131"/>
      <c r="AA87" s="131"/>
      <c r="AB87" s="131"/>
      <c r="AC87" s="131"/>
      <c r="AD87" s="131"/>
      <c r="AE87" s="131"/>
      <c r="AF87" s="131"/>
      <c r="AG87" s="132"/>
      <c r="AI87" s="130" t="s">
        <v>5</v>
      </c>
      <c r="AJ87" s="131"/>
      <c r="AK87" s="131"/>
      <c r="AL87" s="131"/>
      <c r="AM87" s="131"/>
      <c r="AN87" s="131"/>
      <c r="AO87" s="131"/>
      <c r="AP87" s="131"/>
      <c r="AQ87" s="131"/>
      <c r="AR87" s="131"/>
      <c r="AS87" s="132"/>
    </row>
    <row r="88" spans="1:45" ht="13.5" thickBot="1" x14ac:dyDescent="0.25">
      <c r="A88" s="52" t="s">
        <v>108</v>
      </c>
      <c r="B88" s="52" t="s">
        <v>6</v>
      </c>
      <c r="C88" s="55" t="s">
        <v>7</v>
      </c>
      <c r="D88" s="74" t="s">
        <v>111</v>
      </c>
      <c r="E88" s="55" t="s">
        <v>112</v>
      </c>
      <c r="F88" s="68" t="s">
        <v>113</v>
      </c>
      <c r="G88" s="68" t="s">
        <v>114</v>
      </c>
      <c r="H88" s="54" t="s">
        <v>109</v>
      </c>
      <c r="I88" s="53" t="s">
        <v>110</v>
      </c>
      <c r="J88" s="8" t="s">
        <v>2</v>
      </c>
      <c r="K88" s="6">
        <v>2000</v>
      </c>
      <c r="L88" s="6">
        <v>2001</v>
      </c>
      <c r="M88" s="6">
        <v>2002</v>
      </c>
      <c r="N88" s="6">
        <v>2003</v>
      </c>
      <c r="O88" s="6">
        <v>2004</v>
      </c>
      <c r="P88" s="6">
        <v>2005</v>
      </c>
      <c r="Q88" s="6">
        <v>2006</v>
      </c>
      <c r="R88" s="6">
        <v>2007</v>
      </c>
      <c r="S88" s="6">
        <v>2008</v>
      </c>
      <c r="T88" s="6">
        <v>2009</v>
      </c>
      <c r="U88" s="6">
        <v>2010</v>
      </c>
      <c r="V88" s="3"/>
      <c r="W88" s="7">
        <v>2000</v>
      </c>
      <c r="X88" s="8">
        <v>2001</v>
      </c>
      <c r="Y88" s="8">
        <v>2002</v>
      </c>
      <c r="Z88" s="8">
        <v>2003</v>
      </c>
      <c r="AA88" s="8">
        <v>2004</v>
      </c>
      <c r="AB88" s="8">
        <v>2005</v>
      </c>
      <c r="AC88" s="8">
        <v>2006</v>
      </c>
      <c r="AD88" s="8">
        <v>2007</v>
      </c>
      <c r="AE88" s="8">
        <v>2008</v>
      </c>
      <c r="AF88" s="8">
        <v>2009</v>
      </c>
      <c r="AG88" s="9">
        <v>2010</v>
      </c>
      <c r="AI88" s="7">
        <v>2000</v>
      </c>
      <c r="AJ88" s="8">
        <v>2001</v>
      </c>
      <c r="AK88" s="8">
        <v>2002</v>
      </c>
      <c r="AL88" s="8">
        <v>2003</v>
      </c>
      <c r="AM88" s="8">
        <v>2004</v>
      </c>
      <c r="AN88" s="8">
        <v>2005</v>
      </c>
      <c r="AO88" s="8">
        <v>2006</v>
      </c>
      <c r="AP88" s="8">
        <v>2007</v>
      </c>
      <c r="AQ88" s="8">
        <v>2008</v>
      </c>
      <c r="AR88" s="8">
        <v>2009</v>
      </c>
      <c r="AS88" s="9">
        <v>2010</v>
      </c>
    </row>
    <row r="89" spans="1:45" x14ac:dyDescent="0.2">
      <c r="A89" s="113" t="s">
        <v>0</v>
      </c>
      <c r="B89" s="24" t="s">
        <v>52</v>
      </c>
      <c r="C89" s="56">
        <v>24735</v>
      </c>
      <c r="D89" s="75">
        <v>4000</v>
      </c>
      <c r="E89" s="56" t="s">
        <v>117</v>
      </c>
      <c r="F89" s="69">
        <v>0.10199999999999999</v>
      </c>
      <c r="G89" s="69">
        <v>1.1000000000000001E-3</v>
      </c>
      <c r="H89" s="72">
        <f t="shared" si="26"/>
        <v>0.1031</v>
      </c>
      <c r="I89" s="63">
        <v>36525</v>
      </c>
      <c r="J89" s="64">
        <v>36616</v>
      </c>
      <c r="K89">
        <v>91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ref="W89:W119" si="51">+K89*$D89</f>
        <v>364000</v>
      </c>
      <c r="X89" s="30">
        <f t="shared" ref="X89:X119" si="52">+L89*$D89</f>
        <v>0</v>
      </c>
      <c r="Y89" s="30">
        <f t="shared" ref="Y89:Y119" si="53">+M89*$D89</f>
        <v>0</v>
      </c>
      <c r="Z89" s="30">
        <f t="shared" ref="Z89:Z119" si="54">+N89*$D89</f>
        <v>0</v>
      </c>
      <c r="AA89" s="30">
        <f t="shared" ref="AA89:AA119" si="55">+O89*$D89</f>
        <v>0</v>
      </c>
      <c r="AB89" s="30">
        <f t="shared" ref="AB89:AB119" si="56">+P89*$D89</f>
        <v>0</v>
      </c>
      <c r="AC89" s="30">
        <f t="shared" ref="AC89:AC119" si="57">+Q89*$D89</f>
        <v>0</v>
      </c>
      <c r="AD89" s="30">
        <f t="shared" ref="AD89:AD119" si="58">+R89*$D89</f>
        <v>0</v>
      </c>
      <c r="AE89" s="30">
        <f t="shared" ref="AE89:AE119" si="59">+S89*$D89</f>
        <v>0</v>
      </c>
      <c r="AF89" s="30">
        <f t="shared" ref="AF89:AF119" si="60">+T89*$D89</f>
        <v>0</v>
      </c>
      <c r="AG89" s="30">
        <f t="shared" ref="AG89:AG119" si="61">+U89*$D89</f>
        <v>0</v>
      </c>
      <c r="AI89" s="95">
        <f t="shared" ref="AI89:AI119" si="62">+W89*($F89+$G89)</f>
        <v>37528.400000000001</v>
      </c>
      <c r="AJ89" s="95">
        <f t="shared" ref="AJ89:AJ119" si="63">+X89*($F89+$G89)</f>
        <v>0</v>
      </c>
      <c r="AK89" s="95">
        <f t="shared" ref="AK89:AK119" si="64">+Y89*($F89+$G89)</f>
        <v>0</v>
      </c>
      <c r="AL89" s="95">
        <f t="shared" ref="AL89:AL119" si="65">+Z89*($F89+$G89)</f>
        <v>0</v>
      </c>
      <c r="AM89" s="95">
        <f t="shared" ref="AM89:AM119" si="66">+AA89*($F89+$G89)</f>
        <v>0</v>
      </c>
      <c r="AN89" s="95">
        <f t="shared" ref="AN89:AN119" si="67">+AB89*($F89+$G89)</f>
        <v>0</v>
      </c>
      <c r="AO89" s="95">
        <f t="shared" ref="AO89:AO119" si="68">+AC89*($F89+$G89)</f>
        <v>0</v>
      </c>
      <c r="AP89" s="95">
        <f t="shared" ref="AP89:AP119" si="69">+AD89*($F89+$G89)</f>
        <v>0</v>
      </c>
      <c r="AQ89" s="95">
        <f t="shared" ref="AQ89:AQ119" si="70">+AE89*($F89+$G89)</f>
        <v>0</v>
      </c>
      <c r="AR89" s="95">
        <f t="shared" ref="AR89:AR119" si="71">+AF89*($F89+$G89)</f>
        <v>0</v>
      </c>
      <c r="AS89" s="95">
        <f t="shared" ref="AS89:AS119" si="72">+AG89*($F89+$G89)</f>
        <v>0</v>
      </c>
    </row>
    <row r="90" spans="1:45" x14ac:dyDescent="0.2">
      <c r="A90" s="112" t="s">
        <v>0</v>
      </c>
      <c r="B90" s="49" t="s">
        <v>106</v>
      </c>
      <c r="C90" s="56">
        <v>25071</v>
      </c>
      <c r="D90" s="75">
        <v>90000</v>
      </c>
      <c r="E90" s="57" t="s">
        <v>115</v>
      </c>
      <c r="F90" s="69">
        <v>0.10199999999999999</v>
      </c>
      <c r="G90" s="69">
        <v>1.1000000000000001E-3</v>
      </c>
      <c r="H90" s="72">
        <f t="shared" si="26"/>
        <v>0.1031</v>
      </c>
      <c r="I90" s="63">
        <v>36525</v>
      </c>
      <c r="J90" s="64">
        <v>39782</v>
      </c>
      <c r="K90">
        <v>366</v>
      </c>
      <c r="L90">
        <v>365</v>
      </c>
      <c r="M90">
        <v>365</v>
      </c>
      <c r="N90">
        <v>365</v>
      </c>
      <c r="O90">
        <v>366</v>
      </c>
      <c r="P90">
        <v>365</v>
      </c>
      <c r="Q90">
        <v>365</v>
      </c>
      <c r="R90">
        <v>335</v>
      </c>
      <c r="S90">
        <v>0</v>
      </c>
      <c r="T90">
        <v>0</v>
      </c>
      <c r="U90">
        <v>0</v>
      </c>
      <c r="W90" s="30">
        <f t="shared" si="51"/>
        <v>32940000</v>
      </c>
      <c r="X90" s="30">
        <f t="shared" si="52"/>
        <v>32850000</v>
      </c>
      <c r="Y90" s="30">
        <f t="shared" si="53"/>
        <v>32850000</v>
      </c>
      <c r="Z90" s="30">
        <f t="shared" si="54"/>
        <v>32850000</v>
      </c>
      <c r="AA90" s="30">
        <f t="shared" si="55"/>
        <v>32940000</v>
      </c>
      <c r="AB90" s="30">
        <f t="shared" si="56"/>
        <v>32850000</v>
      </c>
      <c r="AC90" s="30">
        <f t="shared" si="57"/>
        <v>32850000</v>
      </c>
      <c r="AD90" s="30">
        <f t="shared" si="58"/>
        <v>30150000</v>
      </c>
      <c r="AE90" s="30">
        <f t="shared" si="59"/>
        <v>0</v>
      </c>
      <c r="AF90" s="30">
        <f t="shared" si="60"/>
        <v>0</v>
      </c>
      <c r="AG90" s="30">
        <f t="shared" si="61"/>
        <v>0</v>
      </c>
      <c r="AI90" s="95">
        <f t="shared" si="62"/>
        <v>3396114</v>
      </c>
      <c r="AJ90" s="95">
        <f t="shared" si="63"/>
        <v>3386835</v>
      </c>
      <c r="AK90" s="95">
        <f t="shared" si="64"/>
        <v>3386835</v>
      </c>
      <c r="AL90" s="95">
        <f t="shared" si="65"/>
        <v>3386835</v>
      </c>
      <c r="AM90" s="95">
        <f t="shared" si="66"/>
        <v>3396114</v>
      </c>
      <c r="AN90" s="95">
        <f t="shared" si="67"/>
        <v>3386835</v>
      </c>
      <c r="AO90" s="95">
        <f t="shared" si="68"/>
        <v>3386835</v>
      </c>
      <c r="AP90" s="95">
        <f t="shared" si="69"/>
        <v>3108465</v>
      </c>
      <c r="AQ90" s="95">
        <f t="shared" si="70"/>
        <v>0</v>
      </c>
      <c r="AR90" s="95">
        <f t="shared" si="71"/>
        <v>0</v>
      </c>
      <c r="AS90" s="95">
        <f t="shared" si="72"/>
        <v>0</v>
      </c>
    </row>
    <row r="91" spans="1:45" x14ac:dyDescent="0.2">
      <c r="A91" s="118" t="s">
        <v>0</v>
      </c>
      <c r="B91" s="49" t="s">
        <v>106</v>
      </c>
      <c r="C91" s="56">
        <v>25700</v>
      </c>
      <c r="D91" s="75">
        <v>25000</v>
      </c>
      <c r="E91" s="57" t="s">
        <v>115</v>
      </c>
      <c r="F91" s="69">
        <v>0.10199999999999999</v>
      </c>
      <c r="G91" s="69">
        <v>1.1000000000000001E-3</v>
      </c>
      <c r="H91" s="72">
        <f t="shared" si="26"/>
        <v>0.1031</v>
      </c>
      <c r="I91" s="63">
        <v>36525</v>
      </c>
      <c r="J91" s="64">
        <v>37621</v>
      </c>
      <c r="K91">
        <v>366</v>
      </c>
      <c r="L91">
        <v>365</v>
      </c>
      <c r="M91">
        <v>365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si="51"/>
        <v>9150000</v>
      </c>
      <c r="X91" s="30">
        <f t="shared" si="52"/>
        <v>9125000</v>
      </c>
      <c r="Y91" s="30">
        <f t="shared" si="53"/>
        <v>9125000</v>
      </c>
      <c r="Z91" s="30">
        <f t="shared" si="54"/>
        <v>0</v>
      </c>
      <c r="AA91" s="30">
        <f t="shared" si="55"/>
        <v>0</v>
      </c>
      <c r="AB91" s="30">
        <f t="shared" si="56"/>
        <v>0</v>
      </c>
      <c r="AC91" s="30">
        <f t="shared" si="57"/>
        <v>0</v>
      </c>
      <c r="AD91" s="30">
        <f t="shared" si="58"/>
        <v>0</v>
      </c>
      <c r="AE91" s="30">
        <f t="shared" si="59"/>
        <v>0</v>
      </c>
      <c r="AF91" s="30">
        <f t="shared" si="60"/>
        <v>0</v>
      </c>
      <c r="AG91" s="30">
        <f t="shared" si="61"/>
        <v>0</v>
      </c>
      <c r="AI91" s="95">
        <f t="shared" si="62"/>
        <v>943365</v>
      </c>
      <c r="AJ91" s="95">
        <f t="shared" si="63"/>
        <v>940787.5</v>
      </c>
      <c r="AK91" s="95">
        <f t="shared" si="64"/>
        <v>940787.5</v>
      </c>
      <c r="AL91" s="95">
        <f t="shared" si="65"/>
        <v>0</v>
      </c>
      <c r="AM91" s="95">
        <f t="shared" si="66"/>
        <v>0</v>
      </c>
      <c r="AN91" s="95">
        <f t="shared" si="67"/>
        <v>0</v>
      </c>
      <c r="AO91" s="95">
        <f t="shared" si="68"/>
        <v>0</v>
      </c>
      <c r="AP91" s="95">
        <f t="shared" si="69"/>
        <v>0</v>
      </c>
      <c r="AQ91" s="95">
        <f t="shared" si="70"/>
        <v>0</v>
      </c>
      <c r="AR91" s="95">
        <f t="shared" si="71"/>
        <v>0</v>
      </c>
      <c r="AS91" s="95">
        <f t="shared" si="72"/>
        <v>0</v>
      </c>
    </row>
    <row r="92" spans="1:45" x14ac:dyDescent="0.2">
      <c r="A92" s="104" t="s">
        <v>0</v>
      </c>
      <c r="B92" s="10" t="s">
        <v>16</v>
      </c>
      <c r="C92" s="56">
        <v>25025</v>
      </c>
      <c r="D92" s="75">
        <v>80000</v>
      </c>
      <c r="E92" s="57" t="s">
        <v>115</v>
      </c>
      <c r="F92" s="69">
        <v>0.10199999999999999</v>
      </c>
      <c r="G92" s="69">
        <v>1.1000000000000001E-3</v>
      </c>
      <c r="H92" s="72">
        <f t="shared" si="26"/>
        <v>0.1031</v>
      </c>
      <c r="I92" s="63">
        <v>36525</v>
      </c>
      <c r="J92" s="64">
        <v>39051</v>
      </c>
      <c r="K92">
        <v>366</v>
      </c>
      <c r="L92">
        <v>365</v>
      </c>
      <c r="M92">
        <v>365</v>
      </c>
      <c r="N92">
        <v>365</v>
      </c>
      <c r="O92">
        <v>366</v>
      </c>
      <c r="P92">
        <v>365</v>
      </c>
      <c r="Q92">
        <v>334</v>
      </c>
      <c r="R92">
        <v>0</v>
      </c>
      <c r="S92">
        <v>0</v>
      </c>
      <c r="T92">
        <v>0</v>
      </c>
      <c r="U92">
        <v>0</v>
      </c>
      <c r="W92" s="30">
        <f t="shared" si="51"/>
        <v>29280000</v>
      </c>
      <c r="X92" s="30">
        <f t="shared" si="52"/>
        <v>29200000</v>
      </c>
      <c r="Y92" s="30">
        <f t="shared" si="53"/>
        <v>29200000</v>
      </c>
      <c r="Z92" s="30">
        <f t="shared" si="54"/>
        <v>29200000</v>
      </c>
      <c r="AA92" s="30">
        <f t="shared" si="55"/>
        <v>29280000</v>
      </c>
      <c r="AB92" s="30">
        <f t="shared" si="56"/>
        <v>29200000</v>
      </c>
      <c r="AC92" s="30">
        <f t="shared" si="57"/>
        <v>26720000</v>
      </c>
      <c r="AD92" s="30">
        <f t="shared" si="58"/>
        <v>0</v>
      </c>
      <c r="AE92" s="30">
        <f t="shared" si="59"/>
        <v>0</v>
      </c>
      <c r="AF92" s="30">
        <f t="shared" si="60"/>
        <v>0</v>
      </c>
      <c r="AG92" s="30">
        <f t="shared" si="61"/>
        <v>0</v>
      </c>
      <c r="AI92" s="95">
        <f t="shared" si="62"/>
        <v>3018768</v>
      </c>
      <c r="AJ92" s="95">
        <f t="shared" si="63"/>
        <v>3010520</v>
      </c>
      <c r="AK92" s="95">
        <f t="shared" si="64"/>
        <v>3010520</v>
      </c>
      <c r="AL92" s="95">
        <f t="shared" si="65"/>
        <v>3010520</v>
      </c>
      <c r="AM92" s="95">
        <f t="shared" si="66"/>
        <v>3018768</v>
      </c>
      <c r="AN92" s="95">
        <f t="shared" si="67"/>
        <v>3010520</v>
      </c>
      <c r="AO92" s="95">
        <f t="shared" si="68"/>
        <v>2754832</v>
      </c>
      <c r="AP92" s="95">
        <f t="shared" si="69"/>
        <v>0</v>
      </c>
      <c r="AQ92" s="95">
        <f t="shared" si="70"/>
        <v>0</v>
      </c>
      <c r="AR92" s="95">
        <f t="shared" si="71"/>
        <v>0</v>
      </c>
      <c r="AS92" s="95">
        <f t="shared" si="72"/>
        <v>0</v>
      </c>
    </row>
    <row r="93" spans="1:45" x14ac:dyDescent="0.2">
      <c r="A93" s="113" t="s">
        <v>0</v>
      </c>
      <c r="B93" s="24" t="s">
        <v>51</v>
      </c>
      <c r="C93" s="56">
        <v>24216</v>
      </c>
      <c r="D93" s="75">
        <v>55000</v>
      </c>
      <c r="E93" s="57" t="s">
        <v>115</v>
      </c>
      <c r="F93" s="69">
        <v>0.10199999999999999</v>
      </c>
      <c r="G93" s="69">
        <v>1.1000000000000001E-3</v>
      </c>
      <c r="H93" s="72">
        <f t="shared" si="26"/>
        <v>0.1031</v>
      </c>
      <c r="I93" s="63">
        <v>36525</v>
      </c>
      <c r="J93" s="64">
        <v>36585</v>
      </c>
      <c r="K93">
        <v>60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51"/>
        <v>3300000</v>
      </c>
      <c r="X93" s="30">
        <f t="shared" si="52"/>
        <v>0</v>
      </c>
      <c r="Y93" s="30">
        <f t="shared" si="53"/>
        <v>0</v>
      </c>
      <c r="Z93" s="30">
        <f t="shared" si="54"/>
        <v>0</v>
      </c>
      <c r="AA93" s="30">
        <f t="shared" si="55"/>
        <v>0</v>
      </c>
      <c r="AB93" s="30">
        <f t="shared" si="56"/>
        <v>0</v>
      </c>
      <c r="AC93" s="30">
        <f t="shared" si="57"/>
        <v>0</v>
      </c>
      <c r="AD93" s="30">
        <f t="shared" si="58"/>
        <v>0</v>
      </c>
      <c r="AE93" s="30">
        <f t="shared" si="59"/>
        <v>0</v>
      </c>
      <c r="AF93" s="30">
        <f t="shared" si="60"/>
        <v>0</v>
      </c>
      <c r="AG93" s="30">
        <f t="shared" si="61"/>
        <v>0</v>
      </c>
      <c r="AI93" s="95">
        <f t="shared" si="62"/>
        <v>340230</v>
      </c>
      <c r="AJ93" s="95">
        <f t="shared" si="63"/>
        <v>0</v>
      </c>
      <c r="AK93" s="95">
        <f t="shared" si="64"/>
        <v>0</v>
      </c>
      <c r="AL93" s="95">
        <f t="shared" si="65"/>
        <v>0</v>
      </c>
      <c r="AM93" s="95">
        <f t="shared" si="66"/>
        <v>0</v>
      </c>
      <c r="AN93" s="95">
        <f t="shared" si="67"/>
        <v>0</v>
      </c>
      <c r="AO93" s="95">
        <f t="shared" si="68"/>
        <v>0</v>
      </c>
      <c r="AP93" s="95">
        <f t="shared" si="69"/>
        <v>0</v>
      </c>
      <c r="AQ93" s="95">
        <f t="shared" si="70"/>
        <v>0</v>
      </c>
      <c r="AR93" s="95">
        <f t="shared" si="71"/>
        <v>0</v>
      </c>
      <c r="AS93" s="95">
        <f t="shared" si="72"/>
        <v>0</v>
      </c>
    </row>
    <row r="94" spans="1:45" x14ac:dyDescent="0.2">
      <c r="A94" s="118" t="s">
        <v>0</v>
      </c>
      <c r="B94" s="10" t="s">
        <v>59</v>
      </c>
      <c r="C94" s="56">
        <v>27458</v>
      </c>
      <c r="D94" s="75">
        <v>14000</v>
      </c>
      <c r="E94" s="56" t="s">
        <v>122</v>
      </c>
      <c r="F94" s="69">
        <v>0.10199999999999999</v>
      </c>
      <c r="G94" s="69">
        <v>1.1000000000000001E-3</v>
      </c>
      <c r="H94" s="72">
        <f t="shared" si="26"/>
        <v>0.1031</v>
      </c>
      <c r="I94" s="63">
        <v>37621</v>
      </c>
      <c r="J94" s="64">
        <v>38717</v>
      </c>
      <c r="K94">
        <v>0</v>
      </c>
      <c r="L94">
        <v>0</v>
      </c>
      <c r="M94">
        <v>0</v>
      </c>
      <c r="N94">
        <v>365</v>
      </c>
      <c r="O94">
        <v>366</v>
      </c>
      <c r="P94">
        <v>365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51"/>
        <v>0</v>
      </c>
      <c r="X94" s="30">
        <f t="shared" si="52"/>
        <v>0</v>
      </c>
      <c r="Y94" s="30">
        <f t="shared" si="53"/>
        <v>0</v>
      </c>
      <c r="Z94" s="30">
        <f t="shared" si="54"/>
        <v>5110000</v>
      </c>
      <c r="AA94" s="30">
        <f t="shared" si="55"/>
        <v>5124000</v>
      </c>
      <c r="AB94" s="30">
        <f t="shared" si="56"/>
        <v>5110000</v>
      </c>
      <c r="AC94" s="30">
        <f t="shared" si="57"/>
        <v>0</v>
      </c>
      <c r="AD94" s="30">
        <f t="shared" si="58"/>
        <v>0</v>
      </c>
      <c r="AE94" s="30">
        <f t="shared" si="59"/>
        <v>0</v>
      </c>
      <c r="AF94" s="30">
        <f t="shared" si="60"/>
        <v>0</v>
      </c>
      <c r="AG94" s="30">
        <f t="shared" si="61"/>
        <v>0</v>
      </c>
      <c r="AI94" s="95">
        <f t="shared" si="62"/>
        <v>0</v>
      </c>
      <c r="AJ94" s="95">
        <f t="shared" si="63"/>
        <v>0</v>
      </c>
      <c r="AK94" s="95">
        <f t="shared" si="64"/>
        <v>0</v>
      </c>
      <c r="AL94" s="95">
        <f t="shared" si="65"/>
        <v>526841</v>
      </c>
      <c r="AM94" s="95">
        <f t="shared" si="66"/>
        <v>528284.4</v>
      </c>
      <c r="AN94" s="95">
        <f t="shared" si="67"/>
        <v>526841</v>
      </c>
      <c r="AO94" s="95">
        <f t="shared" si="68"/>
        <v>0</v>
      </c>
      <c r="AP94" s="95">
        <f t="shared" si="69"/>
        <v>0</v>
      </c>
      <c r="AQ94" s="95">
        <f t="shared" si="70"/>
        <v>0</v>
      </c>
      <c r="AR94" s="95">
        <f t="shared" si="71"/>
        <v>0</v>
      </c>
      <c r="AS94" s="95">
        <f t="shared" si="72"/>
        <v>0</v>
      </c>
    </row>
    <row r="95" spans="1:45" x14ac:dyDescent="0.2">
      <c r="A95" s="113" t="s">
        <v>0</v>
      </c>
      <c r="B95" s="10" t="s">
        <v>17</v>
      </c>
      <c r="C95" s="56">
        <v>26519</v>
      </c>
      <c r="D95" s="75">
        <v>25000</v>
      </c>
      <c r="E95" s="56" t="s">
        <v>117</v>
      </c>
      <c r="F95" s="69">
        <v>0.1052</v>
      </c>
      <c r="G95" s="69">
        <v>1.1000000000000001E-3</v>
      </c>
      <c r="H95" s="72">
        <f t="shared" si="26"/>
        <v>0.10630000000000001</v>
      </c>
      <c r="I95" s="63">
        <v>36525</v>
      </c>
      <c r="J95" s="64">
        <v>39141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59</v>
      </c>
      <c r="S95">
        <v>0</v>
      </c>
      <c r="T95">
        <v>0</v>
      </c>
      <c r="U95">
        <v>0</v>
      </c>
      <c r="W95" s="30">
        <f t="shared" si="51"/>
        <v>9150000</v>
      </c>
      <c r="X95" s="30">
        <f t="shared" si="52"/>
        <v>9125000</v>
      </c>
      <c r="Y95" s="30">
        <f t="shared" si="53"/>
        <v>9125000</v>
      </c>
      <c r="Z95" s="30">
        <f t="shared" si="54"/>
        <v>9125000</v>
      </c>
      <c r="AA95" s="30">
        <f t="shared" si="55"/>
        <v>9150000</v>
      </c>
      <c r="AB95" s="30">
        <f t="shared" si="56"/>
        <v>9125000</v>
      </c>
      <c r="AC95" s="30">
        <f t="shared" si="57"/>
        <v>9125000</v>
      </c>
      <c r="AD95" s="30">
        <f t="shared" si="58"/>
        <v>1475000</v>
      </c>
      <c r="AE95" s="30">
        <f t="shared" si="59"/>
        <v>0</v>
      </c>
      <c r="AF95" s="30">
        <f t="shared" si="60"/>
        <v>0</v>
      </c>
      <c r="AG95" s="30">
        <f t="shared" si="61"/>
        <v>0</v>
      </c>
      <c r="AI95" s="95">
        <f t="shared" si="62"/>
        <v>972645</v>
      </c>
      <c r="AJ95" s="95">
        <f t="shared" si="63"/>
        <v>969987.5</v>
      </c>
      <c r="AK95" s="95">
        <f t="shared" si="64"/>
        <v>969987.5</v>
      </c>
      <c r="AL95" s="95">
        <f t="shared" si="65"/>
        <v>969987.5</v>
      </c>
      <c r="AM95" s="95">
        <f t="shared" si="66"/>
        <v>972645</v>
      </c>
      <c r="AN95" s="95">
        <f t="shared" si="67"/>
        <v>969987.5</v>
      </c>
      <c r="AO95" s="95">
        <f t="shared" si="68"/>
        <v>969987.5</v>
      </c>
      <c r="AP95" s="95">
        <f t="shared" si="69"/>
        <v>156792.5</v>
      </c>
      <c r="AQ95" s="95">
        <f t="shared" si="70"/>
        <v>0</v>
      </c>
      <c r="AR95" s="95">
        <f t="shared" si="71"/>
        <v>0</v>
      </c>
      <c r="AS95" s="95">
        <f t="shared" si="72"/>
        <v>0</v>
      </c>
    </row>
    <row r="96" spans="1:45" x14ac:dyDescent="0.2">
      <c r="A96" s="118" t="s">
        <v>0</v>
      </c>
      <c r="B96" s="10" t="s">
        <v>34</v>
      </c>
      <c r="C96" s="56">
        <v>27566</v>
      </c>
      <c r="D96" s="75">
        <v>20000</v>
      </c>
      <c r="E96" s="56" t="s">
        <v>118</v>
      </c>
      <c r="F96" s="69">
        <v>0.10199999999999999</v>
      </c>
      <c r="G96" s="69">
        <v>1.1000000000000001E-3</v>
      </c>
      <c r="H96" s="72">
        <f t="shared" si="26"/>
        <v>0.1031</v>
      </c>
      <c r="I96" s="63">
        <v>37316</v>
      </c>
      <c r="J96" s="64">
        <v>39172</v>
      </c>
      <c r="K96">
        <v>0</v>
      </c>
      <c r="L96">
        <v>0</v>
      </c>
      <c r="M96">
        <v>306</v>
      </c>
      <c r="N96">
        <v>365</v>
      </c>
      <c r="O96">
        <v>366</v>
      </c>
      <c r="P96">
        <v>365</v>
      </c>
      <c r="Q96">
        <v>365</v>
      </c>
      <c r="R96">
        <v>90</v>
      </c>
      <c r="S96">
        <v>0</v>
      </c>
      <c r="T96">
        <v>0</v>
      </c>
      <c r="U96">
        <v>0</v>
      </c>
      <c r="W96" s="30">
        <f t="shared" si="51"/>
        <v>0</v>
      </c>
      <c r="X96" s="30">
        <f t="shared" si="52"/>
        <v>0</v>
      </c>
      <c r="Y96" s="30">
        <f t="shared" si="53"/>
        <v>6120000</v>
      </c>
      <c r="Z96" s="30">
        <f t="shared" si="54"/>
        <v>7300000</v>
      </c>
      <c r="AA96" s="30">
        <f t="shared" si="55"/>
        <v>7320000</v>
      </c>
      <c r="AB96" s="30">
        <f t="shared" si="56"/>
        <v>7300000</v>
      </c>
      <c r="AC96" s="30">
        <f t="shared" si="57"/>
        <v>7300000</v>
      </c>
      <c r="AD96" s="30">
        <f t="shared" si="58"/>
        <v>1800000</v>
      </c>
      <c r="AE96" s="30">
        <f t="shared" si="59"/>
        <v>0</v>
      </c>
      <c r="AF96" s="30">
        <f t="shared" si="60"/>
        <v>0</v>
      </c>
      <c r="AG96" s="30">
        <f t="shared" si="61"/>
        <v>0</v>
      </c>
      <c r="AI96" s="95">
        <f t="shared" si="62"/>
        <v>0</v>
      </c>
      <c r="AJ96" s="95">
        <f t="shared" si="63"/>
        <v>0</v>
      </c>
      <c r="AK96" s="95">
        <f t="shared" si="64"/>
        <v>630972</v>
      </c>
      <c r="AL96" s="95">
        <f t="shared" si="65"/>
        <v>752630</v>
      </c>
      <c r="AM96" s="95">
        <f t="shared" si="66"/>
        <v>754692</v>
      </c>
      <c r="AN96" s="95">
        <f t="shared" si="67"/>
        <v>752630</v>
      </c>
      <c r="AO96" s="95">
        <f t="shared" si="68"/>
        <v>752630</v>
      </c>
      <c r="AP96" s="95">
        <f t="shared" si="69"/>
        <v>185580</v>
      </c>
      <c r="AQ96" s="95">
        <f t="shared" si="70"/>
        <v>0</v>
      </c>
      <c r="AR96" s="95">
        <f t="shared" si="71"/>
        <v>0</v>
      </c>
      <c r="AS96" s="95">
        <f t="shared" si="72"/>
        <v>0</v>
      </c>
    </row>
    <row r="97" spans="1:45" x14ac:dyDescent="0.2">
      <c r="A97" s="113" t="s">
        <v>0</v>
      </c>
      <c r="B97" s="10" t="s">
        <v>12</v>
      </c>
      <c r="C97" s="56">
        <v>20835</v>
      </c>
      <c r="D97" s="75">
        <v>20000</v>
      </c>
      <c r="E97" s="56" t="s">
        <v>117</v>
      </c>
      <c r="F97" s="69">
        <v>0.1052</v>
      </c>
      <c r="G97" s="69">
        <v>1.1000000000000001E-3</v>
      </c>
      <c r="H97" s="72">
        <f t="shared" si="26"/>
        <v>0.10630000000000001</v>
      </c>
      <c r="I97" s="63">
        <v>36525</v>
      </c>
      <c r="J97" s="64">
        <v>37315</v>
      </c>
      <c r="K97">
        <v>366</v>
      </c>
      <c r="L97">
        <v>365</v>
      </c>
      <c r="M97">
        <v>59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51"/>
        <v>7320000</v>
      </c>
      <c r="X97" s="30">
        <f t="shared" si="52"/>
        <v>7300000</v>
      </c>
      <c r="Y97" s="30">
        <f t="shared" si="53"/>
        <v>1180000</v>
      </c>
      <c r="Z97" s="30">
        <f t="shared" si="54"/>
        <v>0</v>
      </c>
      <c r="AA97" s="30">
        <f t="shared" si="55"/>
        <v>0</v>
      </c>
      <c r="AB97" s="30">
        <f t="shared" si="56"/>
        <v>0</v>
      </c>
      <c r="AC97" s="30">
        <f t="shared" si="57"/>
        <v>0</v>
      </c>
      <c r="AD97" s="30">
        <f t="shared" si="58"/>
        <v>0</v>
      </c>
      <c r="AE97" s="30">
        <f t="shared" si="59"/>
        <v>0</v>
      </c>
      <c r="AF97" s="30">
        <f t="shared" si="60"/>
        <v>0</v>
      </c>
      <c r="AG97" s="30">
        <f t="shared" si="61"/>
        <v>0</v>
      </c>
      <c r="AI97" s="95">
        <f t="shared" si="62"/>
        <v>778116</v>
      </c>
      <c r="AJ97" s="95">
        <f t="shared" si="63"/>
        <v>775990</v>
      </c>
      <c r="AK97" s="95">
        <f t="shared" si="64"/>
        <v>125434</v>
      </c>
      <c r="AL97" s="95">
        <f t="shared" si="65"/>
        <v>0</v>
      </c>
      <c r="AM97" s="95">
        <f t="shared" si="66"/>
        <v>0</v>
      </c>
      <c r="AN97" s="95">
        <f t="shared" si="67"/>
        <v>0</v>
      </c>
      <c r="AO97" s="95">
        <f t="shared" si="68"/>
        <v>0</v>
      </c>
      <c r="AP97" s="95">
        <f t="shared" si="69"/>
        <v>0</v>
      </c>
      <c r="AQ97" s="95">
        <f t="shared" si="70"/>
        <v>0</v>
      </c>
      <c r="AR97" s="95">
        <f t="shared" si="71"/>
        <v>0</v>
      </c>
      <c r="AS97" s="95">
        <f t="shared" si="72"/>
        <v>0</v>
      </c>
    </row>
    <row r="98" spans="1:45" x14ac:dyDescent="0.2">
      <c r="A98" s="113" t="s">
        <v>0</v>
      </c>
      <c r="B98" s="10" t="s">
        <v>64</v>
      </c>
      <c r="C98" s="56">
        <v>26371</v>
      </c>
      <c r="D98" s="75">
        <v>25000</v>
      </c>
      <c r="E98" s="56" t="s">
        <v>117</v>
      </c>
      <c r="F98" s="69">
        <v>0.1052</v>
      </c>
      <c r="G98" s="69">
        <v>1.1000000000000001E-3</v>
      </c>
      <c r="H98" s="72">
        <f t="shared" si="26"/>
        <v>0.10630000000000001</v>
      </c>
      <c r="I98" s="63">
        <v>36525</v>
      </c>
      <c r="J98" s="64">
        <v>39172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90</v>
      </c>
      <c r="S98">
        <v>0</v>
      </c>
      <c r="T98">
        <v>0</v>
      </c>
      <c r="U98">
        <v>0</v>
      </c>
      <c r="W98" s="30">
        <f t="shared" si="51"/>
        <v>9150000</v>
      </c>
      <c r="X98" s="30">
        <f t="shared" si="52"/>
        <v>9125000</v>
      </c>
      <c r="Y98" s="30">
        <f t="shared" si="53"/>
        <v>9125000</v>
      </c>
      <c r="Z98" s="30">
        <f t="shared" si="54"/>
        <v>9125000</v>
      </c>
      <c r="AA98" s="30">
        <f t="shared" si="55"/>
        <v>9150000</v>
      </c>
      <c r="AB98" s="30">
        <f t="shared" si="56"/>
        <v>9125000</v>
      </c>
      <c r="AC98" s="30">
        <f t="shared" si="57"/>
        <v>9125000</v>
      </c>
      <c r="AD98" s="30">
        <f t="shared" si="58"/>
        <v>2250000</v>
      </c>
      <c r="AE98" s="30">
        <f t="shared" si="59"/>
        <v>0</v>
      </c>
      <c r="AF98" s="30">
        <f t="shared" si="60"/>
        <v>0</v>
      </c>
      <c r="AG98" s="30">
        <f t="shared" si="61"/>
        <v>0</v>
      </c>
      <c r="AI98" s="95">
        <f t="shared" si="62"/>
        <v>972645</v>
      </c>
      <c r="AJ98" s="95">
        <f t="shared" si="63"/>
        <v>969987.5</v>
      </c>
      <c r="AK98" s="95">
        <f t="shared" si="64"/>
        <v>969987.5</v>
      </c>
      <c r="AL98" s="95">
        <f t="shared" si="65"/>
        <v>969987.5</v>
      </c>
      <c r="AM98" s="95">
        <f t="shared" si="66"/>
        <v>972645</v>
      </c>
      <c r="AN98" s="95">
        <f t="shared" si="67"/>
        <v>969987.5</v>
      </c>
      <c r="AO98" s="95">
        <f t="shared" si="68"/>
        <v>969987.5</v>
      </c>
      <c r="AP98" s="95">
        <f t="shared" si="69"/>
        <v>239175</v>
      </c>
      <c r="AQ98" s="95">
        <f t="shared" si="70"/>
        <v>0</v>
      </c>
      <c r="AR98" s="95">
        <f t="shared" si="71"/>
        <v>0</v>
      </c>
      <c r="AS98" s="95">
        <f t="shared" si="72"/>
        <v>0</v>
      </c>
    </row>
    <row r="99" spans="1:45" x14ac:dyDescent="0.2">
      <c r="A99" s="118" t="s">
        <v>0</v>
      </c>
      <c r="B99" s="10" t="s">
        <v>56</v>
      </c>
      <c r="C99" s="56">
        <v>27453</v>
      </c>
      <c r="D99" s="75">
        <v>35000</v>
      </c>
      <c r="E99" s="56" t="s">
        <v>122</v>
      </c>
      <c r="F99" s="69">
        <v>0.10199999999999999</v>
      </c>
      <c r="G99" s="69">
        <v>1.1000000000000001E-3</v>
      </c>
      <c r="H99" s="72">
        <f t="shared" ref="H99:H106" si="73">+G99+F99</f>
        <v>0.1031</v>
      </c>
      <c r="I99" s="63">
        <v>37621</v>
      </c>
      <c r="J99" s="64">
        <v>37986</v>
      </c>
      <c r="K99">
        <v>0</v>
      </c>
      <c r="L99">
        <v>0</v>
      </c>
      <c r="M99">
        <v>0</v>
      </c>
      <c r="N99">
        <v>365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51"/>
        <v>0</v>
      </c>
      <c r="X99" s="30">
        <f t="shared" si="52"/>
        <v>0</v>
      </c>
      <c r="Y99" s="30">
        <f t="shared" si="53"/>
        <v>0</v>
      </c>
      <c r="Z99" s="30">
        <f t="shared" si="54"/>
        <v>12775000</v>
      </c>
      <c r="AA99" s="30">
        <f t="shared" si="55"/>
        <v>0</v>
      </c>
      <c r="AB99" s="30">
        <f t="shared" si="56"/>
        <v>0</v>
      </c>
      <c r="AC99" s="30">
        <f t="shared" si="57"/>
        <v>0</v>
      </c>
      <c r="AD99" s="30">
        <f t="shared" si="58"/>
        <v>0</v>
      </c>
      <c r="AE99" s="30">
        <f t="shared" si="59"/>
        <v>0</v>
      </c>
      <c r="AF99" s="30">
        <f t="shared" si="60"/>
        <v>0</v>
      </c>
      <c r="AG99" s="30">
        <f t="shared" si="61"/>
        <v>0</v>
      </c>
      <c r="AI99" s="95">
        <f t="shared" si="62"/>
        <v>0</v>
      </c>
      <c r="AJ99" s="95">
        <f t="shared" si="63"/>
        <v>0</v>
      </c>
      <c r="AK99" s="95">
        <f t="shared" si="64"/>
        <v>0</v>
      </c>
      <c r="AL99" s="95">
        <f t="shared" si="65"/>
        <v>1317102.5</v>
      </c>
      <c r="AM99" s="95">
        <f t="shared" si="66"/>
        <v>0</v>
      </c>
      <c r="AN99" s="95">
        <f t="shared" si="67"/>
        <v>0</v>
      </c>
      <c r="AO99" s="95">
        <f t="shared" si="68"/>
        <v>0</v>
      </c>
      <c r="AP99" s="95">
        <f t="shared" si="69"/>
        <v>0</v>
      </c>
      <c r="AQ99" s="95">
        <f t="shared" si="70"/>
        <v>0</v>
      </c>
      <c r="AR99" s="95">
        <f t="shared" si="71"/>
        <v>0</v>
      </c>
      <c r="AS99" s="95">
        <f t="shared" si="72"/>
        <v>0</v>
      </c>
    </row>
    <row r="100" spans="1:45" x14ac:dyDescent="0.2">
      <c r="A100" s="118" t="s">
        <v>0</v>
      </c>
      <c r="B100" s="10" t="s">
        <v>56</v>
      </c>
      <c r="C100" s="56">
        <v>27456</v>
      </c>
      <c r="D100" s="75">
        <v>21500</v>
      </c>
      <c r="E100" s="56" t="s">
        <v>122</v>
      </c>
      <c r="F100" s="69">
        <v>0.10199999999999999</v>
      </c>
      <c r="G100" s="69">
        <v>1.1000000000000001E-3</v>
      </c>
      <c r="H100" s="72">
        <f t="shared" si="73"/>
        <v>0.1031</v>
      </c>
      <c r="I100" s="63">
        <v>37560</v>
      </c>
      <c r="J100" s="64">
        <v>37621</v>
      </c>
      <c r="K100">
        <v>0</v>
      </c>
      <c r="L100">
        <v>0</v>
      </c>
      <c r="M100">
        <v>61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51"/>
        <v>0</v>
      </c>
      <c r="X100" s="30">
        <f t="shared" si="52"/>
        <v>0</v>
      </c>
      <c r="Y100" s="30">
        <f t="shared" si="53"/>
        <v>1311500</v>
      </c>
      <c r="Z100" s="30">
        <f t="shared" si="54"/>
        <v>0</v>
      </c>
      <c r="AA100" s="30">
        <f t="shared" si="55"/>
        <v>0</v>
      </c>
      <c r="AB100" s="30">
        <f t="shared" si="56"/>
        <v>0</v>
      </c>
      <c r="AC100" s="30">
        <f t="shared" si="57"/>
        <v>0</v>
      </c>
      <c r="AD100" s="30">
        <f t="shared" si="58"/>
        <v>0</v>
      </c>
      <c r="AE100" s="30">
        <f t="shared" si="59"/>
        <v>0</v>
      </c>
      <c r="AF100" s="30">
        <f t="shared" si="60"/>
        <v>0</v>
      </c>
      <c r="AG100" s="30">
        <f t="shared" si="61"/>
        <v>0</v>
      </c>
      <c r="AI100" s="95">
        <f t="shared" si="62"/>
        <v>0</v>
      </c>
      <c r="AJ100" s="95">
        <f t="shared" si="63"/>
        <v>0</v>
      </c>
      <c r="AK100" s="95">
        <f t="shared" si="64"/>
        <v>135215.65</v>
      </c>
      <c r="AL100" s="95">
        <f t="shared" si="65"/>
        <v>0</v>
      </c>
      <c r="AM100" s="95">
        <f t="shared" si="66"/>
        <v>0</v>
      </c>
      <c r="AN100" s="95">
        <f t="shared" si="67"/>
        <v>0</v>
      </c>
      <c r="AO100" s="95">
        <f t="shared" si="68"/>
        <v>0</v>
      </c>
      <c r="AP100" s="95">
        <f t="shared" si="69"/>
        <v>0</v>
      </c>
      <c r="AQ100" s="95">
        <f t="shared" si="70"/>
        <v>0</v>
      </c>
      <c r="AR100" s="95">
        <f t="shared" si="71"/>
        <v>0</v>
      </c>
      <c r="AS100" s="95">
        <f t="shared" si="72"/>
        <v>0</v>
      </c>
    </row>
    <row r="101" spans="1:45" x14ac:dyDescent="0.2">
      <c r="A101" s="118" t="s">
        <v>0</v>
      </c>
      <c r="B101" s="10" t="s">
        <v>56</v>
      </c>
      <c r="C101" s="56">
        <v>27457</v>
      </c>
      <c r="D101" s="75">
        <v>13500</v>
      </c>
      <c r="E101" s="56" t="s">
        <v>122</v>
      </c>
      <c r="F101" s="69">
        <v>0.10199999999999999</v>
      </c>
      <c r="G101" s="69">
        <v>1.1000000000000001E-3</v>
      </c>
      <c r="H101" s="72">
        <f t="shared" si="73"/>
        <v>0.1031</v>
      </c>
      <c r="I101" s="63">
        <v>37225</v>
      </c>
      <c r="J101" s="64">
        <v>37256</v>
      </c>
      <c r="K101">
        <v>0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 s="30">
        <f t="shared" si="51"/>
        <v>0</v>
      </c>
      <c r="X101" s="30">
        <f t="shared" si="52"/>
        <v>418500</v>
      </c>
      <c r="Y101" s="30">
        <f t="shared" si="53"/>
        <v>0</v>
      </c>
      <c r="Z101" s="30">
        <f t="shared" si="54"/>
        <v>0</v>
      </c>
      <c r="AA101" s="30">
        <f t="shared" si="55"/>
        <v>0</v>
      </c>
      <c r="AB101" s="30">
        <f t="shared" si="56"/>
        <v>0</v>
      </c>
      <c r="AC101" s="30">
        <f t="shared" si="57"/>
        <v>0</v>
      </c>
      <c r="AD101" s="30">
        <f t="shared" si="58"/>
        <v>0</v>
      </c>
      <c r="AE101" s="30">
        <f t="shared" si="59"/>
        <v>0</v>
      </c>
      <c r="AF101" s="30">
        <f t="shared" si="60"/>
        <v>0</v>
      </c>
      <c r="AG101" s="30">
        <f t="shared" si="61"/>
        <v>0</v>
      </c>
      <c r="AI101" s="95">
        <f t="shared" si="62"/>
        <v>0</v>
      </c>
      <c r="AJ101" s="95">
        <f t="shared" si="63"/>
        <v>43147.35</v>
      </c>
      <c r="AK101" s="95">
        <f t="shared" si="64"/>
        <v>0</v>
      </c>
      <c r="AL101" s="95">
        <f t="shared" si="65"/>
        <v>0</v>
      </c>
      <c r="AM101" s="95">
        <f t="shared" si="66"/>
        <v>0</v>
      </c>
      <c r="AN101" s="95">
        <f t="shared" si="67"/>
        <v>0</v>
      </c>
      <c r="AO101" s="95">
        <f t="shared" si="68"/>
        <v>0</v>
      </c>
      <c r="AP101" s="95">
        <f t="shared" si="69"/>
        <v>0</v>
      </c>
      <c r="AQ101" s="95">
        <f t="shared" si="70"/>
        <v>0</v>
      </c>
      <c r="AR101" s="95">
        <f t="shared" si="71"/>
        <v>0</v>
      </c>
      <c r="AS101" s="95">
        <f t="shared" si="72"/>
        <v>0</v>
      </c>
    </row>
    <row r="102" spans="1:45" x14ac:dyDescent="0.2">
      <c r="A102" s="108" t="s">
        <v>0</v>
      </c>
      <c r="B102" s="10" t="s">
        <v>21</v>
      </c>
      <c r="C102" s="56">
        <v>24654</v>
      </c>
      <c r="D102" s="75">
        <v>8000</v>
      </c>
      <c r="E102" s="57" t="s">
        <v>115</v>
      </c>
      <c r="F102" s="69">
        <v>0.10199999999999999</v>
      </c>
      <c r="G102" s="69">
        <v>1.1000000000000001E-3</v>
      </c>
      <c r="H102" s="72">
        <f t="shared" si="73"/>
        <v>0.1031</v>
      </c>
      <c r="I102" s="63">
        <v>36525</v>
      </c>
      <c r="J102" s="64">
        <v>37256</v>
      </c>
      <c r="K102">
        <v>366</v>
      </c>
      <c r="L102">
        <v>365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51"/>
        <v>2928000</v>
      </c>
      <c r="X102" s="30">
        <f t="shared" si="52"/>
        <v>2920000</v>
      </c>
      <c r="Y102" s="30">
        <f t="shared" si="53"/>
        <v>0</v>
      </c>
      <c r="Z102" s="30">
        <f t="shared" si="54"/>
        <v>0</v>
      </c>
      <c r="AA102" s="30">
        <f t="shared" si="55"/>
        <v>0</v>
      </c>
      <c r="AB102" s="30">
        <f t="shared" si="56"/>
        <v>0</v>
      </c>
      <c r="AC102" s="30">
        <f t="shared" si="57"/>
        <v>0</v>
      </c>
      <c r="AD102" s="30">
        <f t="shared" si="58"/>
        <v>0</v>
      </c>
      <c r="AE102" s="30">
        <f t="shared" si="59"/>
        <v>0</v>
      </c>
      <c r="AF102" s="30">
        <f t="shared" si="60"/>
        <v>0</v>
      </c>
      <c r="AG102" s="30">
        <f t="shared" si="61"/>
        <v>0</v>
      </c>
      <c r="AI102" s="95">
        <f t="shared" si="62"/>
        <v>301876.8</v>
      </c>
      <c r="AJ102" s="95">
        <f t="shared" si="63"/>
        <v>301052</v>
      </c>
      <c r="AK102" s="95">
        <f t="shared" si="64"/>
        <v>0</v>
      </c>
      <c r="AL102" s="95">
        <f t="shared" si="65"/>
        <v>0</v>
      </c>
      <c r="AM102" s="95">
        <f t="shared" si="66"/>
        <v>0</v>
      </c>
      <c r="AN102" s="95">
        <f t="shared" si="67"/>
        <v>0</v>
      </c>
      <c r="AO102" s="95">
        <f t="shared" si="68"/>
        <v>0</v>
      </c>
      <c r="AP102" s="95">
        <f t="shared" si="69"/>
        <v>0</v>
      </c>
      <c r="AQ102" s="95">
        <f t="shared" si="70"/>
        <v>0</v>
      </c>
      <c r="AR102" s="95">
        <f t="shared" si="71"/>
        <v>0</v>
      </c>
      <c r="AS102" s="95">
        <f t="shared" si="72"/>
        <v>0</v>
      </c>
    </row>
    <row r="103" spans="1:45" x14ac:dyDescent="0.2">
      <c r="A103" s="108" t="s">
        <v>0</v>
      </c>
      <c r="B103" s="42" t="s">
        <v>94</v>
      </c>
      <c r="C103" s="56">
        <v>24568</v>
      </c>
      <c r="D103" s="75">
        <v>32000</v>
      </c>
      <c r="E103" s="57" t="s">
        <v>115</v>
      </c>
      <c r="F103" s="69">
        <v>0.10199999999999999</v>
      </c>
      <c r="G103" s="69">
        <v>1.1000000000000001E-3</v>
      </c>
      <c r="H103" s="72">
        <f t="shared" si="73"/>
        <v>0.1031</v>
      </c>
      <c r="I103" s="63">
        <v>36525</v>
      </c>
      <c r="J103" s="64">
        <v>37256</v>
      </c>
      <c r="K103">
        <v>366</v>
      </c>
      <c r="L103">
        <v>365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51"/>
        <v>11712000</v>
      </c>
      <c r="X103" s="30">
        <f t="shared" si="52"/>
        <v>11680000</v>
      </c>
      <c r="Y103" s="30">
        <f t="shared" si="53"/>
        <v>0</v>
      </c>
      <c r="Z103" s="30">
        <f t="shared" si="54"/>
        <v>0</v>
      </c>
      <c r="AA103" s="30">
        <f t="shared" si="55"/>
        <v>0</v>
      </c>
      <c r="AB103" s="30">
        <f t="shared" si="56"/>
        <v>0</v>
      </c>
      <c r="AC103" s="30">
        <f t="shared" si="57"/>
        <v>0</v>
      </c>
      <c r="AD103" s="30">
        <f t="shared" si="58"/>
        <v>0</v>
      </c>
      <c r="AE103" s="30">
        <f t="shared" si="59"/>
        <v>0</v>
      </c>
      <c r="AF103" s="30">
        <f t="shared" si="60"/>
        <v>0</v>
      </c>
      <c r="AG103" s="30">
        <f t="shared" si="61"/>
        <v>0</v>
      </c>
      <c r="AI103" s="95">
        <f t="shared" si="62"/>
        <v>1207507.2</v>
      </c>
      <c r="AJ103" s="95">
        <f t="shared" si="63"/>
        <v>1204208</v>
      </c>
      <c r="AK103" s="95">
        <f t="shared" si="64"/>
        <v>0</v>
      </c>
      <c r="AL103" s="95">
        <f t="shared" si="65"/>
        <v>0</v>
      </c>
      <c r="AM103" s="95">
        <f t="shared" si="66"/>
        <v>0</v>
      </c>
      <c r="AN103" s="95">
        <f t="shared" si="67"/>
        <v>0</v>
      </c>
      <c r="AO103" s="95">
        <f t="shared" si="68"/>
        <v>0</v>
      </c>
      <c r="AP103" s="95">
        <f t="shared" si="69"/>
        <v>0</v>
      </c>
      <c r="AQ103" s="95">
        <f t="shared" si="70"/>
        <v>0</v>
      </c>
      <c r="AR103" s="95">
        <f t="shared" si="71"/>
        <v>0</v>
      </c>
      <c r="AS103" s="95">
        <f t="shared" si="72"/>
        <v>0</v>
      </c>
    </row>
    <row r="104" spans="1:45" x14ac:dyDescent="0.2">
      <c r="A104" s="118" t="s">
        <v>0</v>
      </c>
      <c r="B104" s="10" t="s">
        <v>14</v>
      </c>
      <c r="C104" s="56">
        <v>26125</v>
      </c>
      <c r="D104" s="75">
        <v>8600</v>
      </c>
      <c r="E104" s="57" t="s">
        <v>115</v>
      </c>
      <c r="F104" s="69">
        <v>0.10199999999999999</v>
      </c>
      <c r="G104" s="69">
        <v>1.1000000000000001E-3</v>
      </c>
      <c r="H104" s="72">
        <f t="shared" si="73"/>
        <v>0.1031</v>
      </c>
      <c r="I104" s="63">
        <v>36525</v>
      </c>
      <c r="J104" s="64">
        <v>37772</v>
      </c>
      <c r="K104">
        <v>366</v>
      </c>
      <c r="L104">
        <v>365</v>
      </c>
      <c r="M104">
        <v>365</v>
      </c>
      <c r="N104">
        <v>151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 s="30">
        <f t="shared" si="51"/>
        <v>3147600</v>
      </c>
      <c r="X104" s="30">
        <f t="shared" si="52"/>
        <v>3139000</v>
      </c>
      <c r="Y104" s="30">
        <f t="shared" si="53"/>
        <v>3139000</v>
      </c>
      <c r="Z104" s="30">
        <f t="shared" si="54"/>
        <v>1298600</v>
      </c>
      <c r="AA104" s="30">
        <f t="shared" si="55"/>
        <v>0</v>
      </c>
      <c r="AB104" s="30">
        <f t="shared" si="56"/>
        <v>0</v>
      </c>
      <c r="AC104" s="30">
        <f t="shared" si="57"/>
        <v>0</v>
      </c>
      <c r="AD104" s="30">
        <f t="shared" si="58"/>
        <v>0</v>
      </c>
      <c r="AE104" s="30">
        <f t="shared" si="59"/>
        <v>0</v>
      </c>
      <c r="AF104" s="30">
        <f t="shared" si="60"/>
        <v>0</v>
      </c>
      <c r="AG104" s="30">
        <f t="shared" si="61"/>
        <v>0</v>
      </c>
      <c r="AI104" s="95">
        <f t="shared" si="62"/>
        <v>324517.56</v>
      </c>
      <c r="AJ104" s="95">
        <f t="shared" si="63"/>
        <v>323630.89999999997</v>
      </c>
      <c r="AK104" s="95">
        <f t="shared" si="64"/>
        <v>323630.89999999997</v>
      </c>
      <c r="AL104" s="95">
        <f t="shared" si="65"/>
        <v>133885.66</v>
      </c>
      <c r="AM104" s="95">
        <f t="shared" si="66"/>
        <v>0</v>
      </c>
      <c r="AN104" s="95">
        <f t="shared" si="67"/>
        <v>0</v>
      </c>
      <c r="AO104" s="95">
        <f t="shared" si="68"/>
        <v>0</v>
      </c>
      <c r="AP104" s="95">
        <f t="shared" si="69"/>
        <v>0</v>
      </c>
      <c r="AQ104" s="95">
        <f t="shared" si="70"/>
        <v>0</v>
      </c>
      <c r="AR104" s="95">
        <f t="shared" si="71"/>
        <v>0</v>
      </c>
      <c r="AS104" s="95">
        <f t="shared" si="72"/>
        <v>0</v>
      </c>
    </row>
    <row r="105" spans="1:45" x14ac:dyDescent="0.2">
      <c r="A105" s="118" t="s">
        <v>0</v>
      </c>
      <c r="B105" s="10" t="s">
        <v>54</v>
      </c>
      <c r="C105" s="56">
        <v>26884</v>
      </c>
      <c r="D105" s="75">
        <v>40000</v>
      </c>
      <c r="E105" s="57" t="s">
        <v>115</v>
      </c>
      <c r="F105" s="69">
        <v>0.10199999999999999</v>
      </c>
      <c r="G105" s="69">
        <v>1.1000000000000001E-3</v>
      </c>
      <c r="H105" s="72">
        <f t="shared" si="73"/>
        <v>0.1031</v>
      </c>
      <c r="I105" s="63">
        <v>36646</v>
      </c>
      <c r="J105" s="64">
        <v>38656</v>
      </c>
      <c r="K105">
        <v>245</v>
      </c>
      <c r="L105">
        <v>365</v>
      </c>
      <c r="M105">
        <v>365</v>
      </c>
      <c r="N105">
        <v>365</v>
      </c>
      <c r="O105">
        <v>366</v>
      </c>
      <c r="P105">
        <v>304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51"/>
        <v>9800000</v>
      </c>
      <c r="X105" s="30">
        <f t="shared" si="52"/>
        <v>14600000</v>
      </c>
      <c r="Y105" s="30">
        <f t="shared" si="53"/>
        <v>14600000</v>
      </c>
      <c r="Z105" s="30">
        <f t="shared" si="54"/>
        <v>14600000</v>
      </c>
      <c r="AA105" s="30">
        <f t="shared" si="55"/>
        <v>14640000</v>
      </c>
      <c r="AB105" s="30">
        <f t="shared" si="56"/>
        <v>12160000</v>
      </c>
      <c r="AC105" s="30">
        <f t="shared" si="57"/>
        <v>0</v>
      </c>
      <c r="AD105" s="30">
        <f t="shared" si="58"/>
        <v>0</v>
      </c>
      <c r="AE105" s="30">
        <f t="shared" si="59"/>
        <v>0</v>
      </c>
      <c r="AF105" s="30">
        <f t="shared" si="60"/>
        <v>0</v>
      </c>
      <c r="AG105" s="30">
        <f t="shared" si="61"/>
        <v>0</v>
      </c>
      <c r="AI105" s="95">
        <f t="shared" si="62"/>
        <v>1010380</v>
      </c>
      <c r="AJ105" s="95">
        <f t="shared" si="63"/>
        <v>1505260</v>
      </c>
      <c r="AK105" s="95">
        <f t="shared" si="64"/>
        <v>1505260</v>
      </c>
      <c r="AL105" s="95">
        <f t="shared" si="65"/>
        <v>1505260</v>
      </c>
      <c r="AM105" s="95">
        <f t="shared" si="66"/>
        <v>1509384</v>
      </c>
      <c r="AN105" s="95">
        <f t="shared" si="67"/>
        <v>1253696</v>
      </c>
      <c r="AO105" s="95">
        <f t="shared" si="68"/>
        <v>0</v>
      </c>
      <c r="AP105" s="95">
        <f t="shared" si="69"/>
        <v>0</v>
      </c>
      <c r="AQ105" s="95">
        <f t="shared" si="70"/>
        <v>0</v>
      </c>
      <c r="AR105" s="95">
        <f t="shared" si="71"/>
        <v>0</v>
      </c>
      <c r="AS105" s="95">
        <f t="shared" si="72"/>
        <v>0</v>
      </c>
    </row>
    <row r="106" spans="1:45" x14ac:dyDescent="0.2">
      <c r="A106" s="113" t="s">
        <v>0</v>
      </c>
      <c r="B106" s="10" t="s">
        <v>65</v>
      </c>
      <c r="C106" s="56">
        <v>26677</v>
      </c>
      <c r="D106" s="75">
        <v>25000</v>
      </c>
      <c r="E106" s="57" t="s">
        <v>115</v>
      </c>
      <c r="F106" s="69">
        <v>0.1052</v>
      </c>
      <c r="G106" s="69">
        <v>1.1000000000000001E-3</v>
      </c>
      <c r="H106" s="72">
        <f t="shared" si="73"/>
        <v>0.10630000000000001</v>
      </c>
      <c r="I106" s="63">
        <v>36525</v>
      </c>
      <c r="J106" s="64">
        <v>39172</v>
      </c>
      <c r="K106">
        <v>366</v>
      </c>
      <c r="L106">
        <v>365</v>
      </c>
      <c r="M106">
        <v>365</v>
      </c>
      <c r="N106">
        <v>365</v>
      </c>
      <c r="O106">
        <v>366</v>
      </c>
      <c r="P106">
        <v>365</v>
      </c>
      <c r="Q106">
        <v>365</v>
      </c>
      <c r="R106">
        <v>90</v>
      </c>
      <c r="S106">
        <v>0</v>
      </c>
      <c r="T106">
        <v>0</v>
      </c>
      <c r="U106">
        <v>0</v>
      </c>
      <c r="W106" s="30">
        <f t="shared" si="51"/>
        <v>9150000</v>
      </c>
      <c r="X106" s="30">
        <f t="shared" si="52"/>
        <v>9125000</v>
      </c>
      <c r="Y106" s="30">
        <f t="shared" si="53"/>
        <v>9125000</v>
      </c>
      <c r="Z106" s="30">
        <f t="shared" si="54"/>
        <v>9125000</v>
      </c>
      <c r="AA106" s="30">
        <f t="shared" si="55"/>
        <v>9150000</v>
      </c>
      <c r="AB106" s="30">
        <f t="shared" si="56"/>
        <v>9125000</v>
      </c>
      <c r="AC106" s="30">
        <f t="shared" si="57"/>
        <v>9125000</v>
      </c>
      <c r="AD106" s="30">
        <f t="shared" si="58"/>
        <v>2250000</v>
      </c>
      <c r="AE106" s="30">
        <f t="shared" si="59"/>
        <v>0</v>
      </c>
      <c r="AF106" s="30">
        <f t="shared" si="60"/>
        <v>0</v>
      </c>
      <c r="AG106" s="30">
        <f t="shared" si="61"/>
        <v>0</v>
      </c>
      <c r="AI106" s="95">
        <f t="shared" si="62"/>
        <v>972645</v>
      </c>
      <c r="AJ106" s="95">
        <f t="shared" si="63"/>
        <v>969987.5</v>
      </c>
      <c r="AK106" s="95">
        <f t="shared" si="64"/>
        <v>969987.5</v>
      </c>
      <c r="AL106" s="95">
        <f t="shared" si="65"/>
        <v>969987.5</v>
      </c>
      <c r="AM106" s="95">
        <f t="shared" si="66"/>
        <v>972645</v>
      </c>
      <c r="AN106" s="95">
        <f t="shared" si="67"/>
        <v>969987.5</v>
      </c>
      <c r="AO106" s="95">
        <f t="shared" si="68"/>
        <v>969987.5</v>
      </c>
      <c r="AP106" s="95">
        <f t="shared" si="69"/>
        <v>239175</v>
      </c>
      <c r="AQ106" s="95">
        <f t="shared" si="70"/>
        <v>0</v>
      </c>
      <c r="AR106" s="95">
        <f t="shared" si="71"/>
        <v>0</v>
      </c>
      <c r="AS106" s="95">
        <f t="shared" si="72"/>
        <v>0</v>
      </c>
    </row>
    <row r="107" spans="1:45" x14ac:dyDescent="0.2">
      <c r="A107" s="113" t="s">
        <v>0</v>
      </c>
      <c r="B107" s="10" t="s">
        <v>53</v>
      </c>
      <c r="C107" s="56">
        <v>21372</v>
      </c>
      <c r="D107" s="75">
        <v>1346</v>
      </c>
      <c r="E107" s="56" t="s">
        <v>124</v>
      </c>
      <c r="F107" s="69">
        <v>0</v>
      </c>
      <c r="G107" s="69">
        <v>0</v>
      </c>
      <c r="H107" s="72">
        <v>0.1328</v>
      </c>
      <c r="I107" s="63">
        <v>36525</v>
      </c>
      <c r="J107" s="64">
        <v>37986</v>
      </c>
      <c r="K107">
        <v>366</v>
      </c>
      <c r="L107">
        <v>365</v>
      </c>
      <c r="M107">
        <v>365</v>
      </c>
      <c r="N107">
        <v>365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51"/>
        <v>492636</v>
      </c>
      <c r="X107" s="30">
        <f t="shared" si="52"/>
        <v>491290</v>
      </c>
      <c r="Y107" s="30">
        <f t="shared" si="53"/>
        <v>491290</v>
      </c>
      <c r="Z107" s="30">
        <f t="shared" si="54"/>
        <v>491290</v>
      </c>
      <c r="AA107" s="30">
        <f t="shared" si="55"/>
        <v>0</v>
      </c>
      <c r="AB107" s="30">
        <f t="shared" si="56"/>
        <v>0</v>
      </c>
      <c r="AC107" s="30">
        <f t="shared" si="57"/>
        <v>0</v>
      </c>
      <c r="AD107" s="30">
        <f t="shared" si="58"/>
        <v>0</v>
      </c>
      <c r="AE107" s="30">
        <f t="shared" si="59"/>
        <v>0</v>
      </c>
      <c r="AF107" s="30">
        <f t="shared" si="60"/>
        <v>0</v>
      </c>
      <c r="AG107" s="30">
        <f t="shared" si="61"/>
        <v>0</v>
      </c>
      <c r="AI107" s="95">
        <f t="shared" si="62"/>
        <v>0</v>
      </c>
      <c r="AJ107" s="95">
        <f t="shared" si="63"/>
        <v>0</v>
      </c>
      <c r="AK107" s="95">
        <f t="shared" si="64"/>
        <v>0</v>
      </c>
      <c r="AL107" s="95">
        <f t="shared" si="65"/>
        <v>0</v>
      </c>
      <c r="AM107" s="95">
        <f t="shared" si="66"/>
        <v>0</v>
      </c>
      <c r="AN107" s="95">
        <f t="shared" si="67"/>
        <v>0</v>
      </c>
      <c r="AO107" s="95">
        <f t="shared" si="68"/>
        <v>0</v>
      </c>
      <c r="AP107" s="95">
        <f t="shared" si="69"/>
        <v>0</v>
      </c>
      <c r="AQ107" s="95">
        <f t="shared" si="70"/>
        <v>0</v>
      </c>
      <c r="AR107" s="95">
        <f t="shared" si="71"/>
        <v>0</v>
      </c>
      <c r="AS107" s="95">
        <f t="shared" si="72"/>
        <v>0</v>
      </c>
    </row>
    <row r="108" spans="1:45" x14ac:dyDescent="0.2">
      <c r="A108" s="118" t="s">
        <v>0</v>
      </c>
      <c r="B108" s="10" t="s">
        <v>29</v>
      </c>
      <c r="C108" s="56">
        <v>26813</v>
      </c>
      <c r="D108" s="75">
        <v>3500</v>
      </c>
      <c r="E108" s="57" t="s">
        <v>115</v>
      </c>
      <c r="F108" s="69">
        <v>0.10199999999999999</v>
      </c>
      <c r="G108" s="69">
        <v>1.1000000000000001E-3</v>
      </c>
      <c r="H108" s="72">
        <f t="shared" ref="H108:H119" si="74">+G108+F108</f>
        <v>0.1031</v>
      </c>
      <c r="I108" s="63">
        <v>36646</v>
      </c>
      <c r="J108" s="64">
        <v>39506</v>
      </c>
      <c r="K108">
        <v>245</v>
      </c>
      <c r="L108">
        <v>365</v>
      </c>
      <c r="M108">
        <v>365</v>
      </c>
      <c r="N108">
        <v>365</v>
      </c>
      <c r="O108">
        <v>366</v>
      </c>
      <c r="P108">
        <v>365</v>
      </c>
      <c r="Q108">
        <v>365</v>
      </c>
      <c r="R108">
        <v>59</v>
      </c>
      <c r="S108">
        <v>0</v>
      </c>
      <c r="T108">
        <v>0</v>
      </c>
      <c r="U108">
        <v>0</v>
      </c>
      <c r="W108" s="30">
        <f t="shared" si="51"/>
        <v>857500</v>
      </c>
      <c r="X108" s="30">
        <f t="shared" si="52"/>
        <v>1277500</v>
      </c>
      <c r="Y108" s="30">
        <f t="shared" si="53"/>
        <v>1277500</v>
      </c>
      <c r="Z108" s="30">
        <f t="shared" si="54"/>
        <v>1277500</v>
      </c>
      <c r="AA108" s="30">
        <f t="shared" si="55"/>
        <v>1281000</v>
      </c>
      <c r="AB108" s="30">
        <f t="shared" si="56"/>
        <v>1277500</v>
      </c>
      <c r="AC108" s="30">
        <f t="shared" si="57"/>
        <v>1277500</v>
      </c>
      <c r="AD108" s="30">
        <f t="shared" si="58"/>
        <v>206500</v>
      </c>
      <c r="AE108" s="30">
        <f t="shared" si="59"/>
        <v>0</v>
      </c>
      <c r="AF108" s="30">
        <f t="shared" si="60"/>
        <v>0</v>
      </c>
      <c r="AG108" s="30">
        <f t="shared" si="61"/>
        <v>0</v>
      </c>
      <c r="AI108" s="95">
        <f t="shared" si="62"/>
        <v>88408.25</v>
      </c>
      <c r="AJ108" s="95">
        <f t="shared" si="63"/>
        <v>131710.25</v>
      </c>
      <c r="AK108" s="95">
        <f t="shared" si="64"/>
        <v>131710.25</v>
      </c>
      <c r="AL108" s="95">
        <f t="shared" si="65"/>
        <v>131710.25</v>
      </c>
      <c r="AM108" s="95">
        <f t="shared" si="66"/>
        <v>132071.1</v>
      </c>
      <c r="AN108" s="95">
        <f t="shared" si="67"/>
        <v>131710.25</v>
      </c>
      <c r="AO108" s="95">
        <f t="shared" si="68"/>
        <v>131710.25</v>
      </c>
      <c r="AP108" s="95">
        <f t="shared" si="69"/>
        <v>21290.149999999998</v>
      </c>
      <c r="AQ108" s="95">
        <f t="shared" si="70"/>
        <v>0</v>
      </c>
      <c r="AR108" s="95">
        <f t="shared" si="71"/>
        <v>0</v>
      </c>
      <c r="AS108" s="95">
        <f t="shared" si="72"/>
        <v>0</v>
      </c>
    </row>
    <row r="109" spans="1:45" x14ac:dyDescent="0.2">
      <c r="A109" s="113" t="s">
        <v>0</v>
      </c>
      <c r="B109" s="10" t="s">
        <v>22</v>
      </c>
      <c r="C109" s="56">
        <v>21175</v>
      </c>
      <c r="D109" s="75">
        <v>150000</v>
      </c>
      <c r="E109" s="56" t="s">
        <v>123</v>
      </c>
      <c r="F109" s="69">
        <v>0.1052</v>
      </c>
      <c r="G109" s="69">
        <v>1.1000000000000001E-3</v>
      </c>
      <c r="H109" s="72">
        <f t="shared" si="74"/>
        <v>0.10630000000000001</v>
      </c>
      <c r="I109" s="63">
        <v>36525</v>
      </c>
      <c r="J109" s="64">
        <v>39172</v>
      </c>
      <c r="K109">
        <v>366</v>
      </c>
      <c r="L109">
        <v>365</v>
      </c>
      <c r="M109">
        <v>365</v>
      </c>
      <c r="N109">
        <v>365</v>
      </c>
      <c r="O109">
        <v>366</v>
      </c>
      <c r="P109">
        <v>365</v>
      </c>
      <c r="Q109">
        <v>365</v>
      </c>
      <c r="R109">
        <v>90</v>
      </c>
      <c r="S109">
        <v>0</v>
      </c>
      <c r="T109">
        <v>0</v>
      </c>
      <c r="U109">
        <v>0</v>
      </c>
      <c r="W109" s="30">
        <f t="shared" si="51"/>
        <v>54900000</v>
      </c>
      <c r="X109" s="30">
        <f t="shared" si="52"/>
        <v>54750000</v>
      </c>
      <c r="Y109" s="30">
        <f t="shared" si="53"/>
        <v>54750000</v>
      </c>
      <c r="Z109" s="30">
        <f t="shared" si="54"/>
        <v>54750000</v>
      </c>
      <c r="AA109" s="30">
        <f t="shared" si="55"/>
        <v>54900000</v>
      </c>
      <c r="AB109" s="30">
        <f t="shared" si="56"/>
        <v>54750000</v>
      </c>
      <c r="AC109" s="30">
        <f t="shared" si="57"/>
        <v>54750000</v>
      </c>
      <c r="AD109" s="30">
        <f t="shared" si="58"/>
        <v>13500000</v>
      </c>
      <c r="AE109" s="30">
        <f t="shared" si="59"/>
        <v>0</v>
      </c>
      <c r="AF109" s="30">
        <f t="shared" si="60"/>
        <v>0</v>
      </c>
      <c r="AG109" s="30">
        <f t="shared" si="61"/>
        <v>0</v>
      </c>
      <c r="AI109" s="95">
        <f t="shared" si="62"/>
        <v>5835870</v>
      </c>
      <c r="AJ109" s="95">
        <f t="shared" si="63"/>
        <v>5819925</v>
      </c>
      <c r="AK109" s="95">
        <f t="shared" si="64"/>
        <v>5819925</v>
      </c>
      <c r="AL109" s="95">
        <f t="shared" si="65"/>
        <v>5819925</v>
      </c>
      <c r="AM109" s="95">
        <f t="shared" si="66"/>
        <v>5835870</v>
      </c>
      <c r="AN109" s="95">
        <f t="shared" si="67"/>
        <v>5819925</v>
      </c>
      <c r="AO109" s="95">
        <f t="shared" si="68"/>
        <v>5819925</v>
      </c>
      <c r="AP109" s="95">
        <f t="shared" si="69"/>
        <v>1435050</v>
      </c>
      <c r="AQ109" s="95">
        <f t="shared" si="70"/>
        <v>0</v>
      </c>
      <c r="AR109" s="95">
        <f t="shared" si="71"/>
        <v>0</v>
      </c>
      <c r="AS109" s="95">
        <f t="shared" si="72"/>
        <v>0</v>
      </c>
    </row>
    <row r="110" spans="1:45" x14ac:dyDescent="0.2">
      <c r="A110" s="113" t="s">
        <v>0</v>
      </c>
      <c r="B110" s="10" t="s">
        <v>63</v>
      </c>
      <c r="C110" s="56">
        <v>21172</v>
      </c>
      <c r="D110" s="75">
        <v>0</v>
      </c>
      <c r="H110" s="72">
        <f t="shared" si="74"/>
        <v>0</v>
      </c>
      <c r="I110" s="63">
        <v>36525</v>
      </c>
      <c r="J110" s="64">
        <v>39172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30">
        <f t="shared" si="51"/>
        <v>0</v>
      </c>
      <c r="X110" s="30">
        <f t="shared" si="52"/>
        <v>0</v>
      </c>
      <c r="Y110" s="30">
        <f t="shared" si="53"/>
        <v>0</v>
      </c>
      <c r="Z110" s="30">
        <f t="shared" si="54"/>
        <v>0</v>
      </c>
      <c r="AA110" s="30">
        <f t="shared" si="55"/>
        <v>0</v>
      </c>
      <c r="AB110" s="30">
        <f t="shared" si="56"/>
        <v>0</v>
      </c>
      <c r="AC110" s="30">
        <f t="shared" si="57"/>
        <v>0</v>
      </c>
      <c r="AD110" s="30">
        <f t="shared" si="58"/>
        <v>0</v>
      </c>
      <c r="AE110" s="30">
        <f t="shared" si="59"/>
        <v>0</v>
      </c>
      <c r="AF110" s="30">
        <f t="shared" si="60"/>
        <v>0</v>
      </c>
      <c r="AG110" s="30">
        <f t="shared" si="61"/>
        <v>0</v>
      </c>
      <c r="AI110" s="95">
        <f t="shared" si="62"/>
        <v>0</v>
      </c>
      <c r="AJ110" s="95">
        <f t="shared" si="63"/>
        <v>0</v>
      </c>
      <c r="AK110" s="95">
        <f t="shared" si="64"/>
        <v>0</v>
      </c>
      <c r="AL110" s="95">
        <f t="shared" si="65"/>
        <v>0</v>
      </c>
      <c r="AM110" s="95">
        <f t="shared" si="66"/>
        <v>0</v>
      </c>
      <c r="AN110" s="95">
        <f t="shared" si="67"/>
        <v>0</v>
      </c>
      <c r="AO110" s="95">
        <f t="shared" si="68"/>
        <v>0</v>
      </c>
      <c r="AP110" s="95">
        <f t="shared" si="69"/>
        <v>0</v>
      </c>
      <c r="AQ110" s="95">
        <f t="shared" si="70"/>
        <v>0</v>
      </c>
      <c r="AR110" s="95">
        <f t="shared" si="71"/>
        <v>0</v>
      </c>
      <c r="AS110" s="95">
        <f t="shared" si="72"/>
        <v>0</v>
      </c>
    </row>
    <row r="111" spans="1:45" x14ac:dyDescent="0.2">
      <c r="A111" s="118" t="s">
        <v>0</v>
      </c>
      <c r="B111" s="10" t="s">
        <v>58</v>
      </c>
      <c r="C111" s="56">
        <v>27454</v>
      </c>
      <c r="D111" s="75">
        <v>27500</v>
      </c>
      <c r="E111" s="56" t="s">
        <v>122</v>
      </c>
      <c r="F111" s="69">
        <v>0.10199999999999999</v>
      </c>
      <c r="G111" s="69">
        <v>1.1000000000000001E-3</v>
      </c>
      <c r="H111" s="72">
        <f t="shared" si="74"/>
        <v>0.1031</v>
      </c>
      <c r="I111" s="63">
        <v>37256</v>
      </c>
      <c r="J111" s="64">
        <v>37621</v>
      </c>
      <c r="K111">
        <v>0</v>
      </c>
      <c r="L111">
        <v>0</v>
      </c>
      <c r="M111">
        <v>365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51"/>
        <v>0</v>
      </c>
      <c r="X111" s="30">
        <f t="shared" si="52"/>
        <v>0</v>
      </c>
      <c r="Y111" s="30">
        <f t="shared" si="53"/>
        <v>10037500</v>
      </c>
      <c r="Z111" s="30">
        <f t="shared" si="54"/>
        <v>0</v>
      </c>
      <c r="AA111" s="30">
        <f t="shared" si="55"/>
        <v>0</v>
      </c>
      <c r="AB111" s="30">
        <f t="shared" si="56"/>
        <v>0</v>
      </c>
      <c r="AC111" s="30">
        <f t="shared" si="57"/>
        <v>0</v>
      </c>
      <c r="AD111" s="30">
        <f t="shared" si="58"/>
        <v>0</v>
      </c>
      <c r="AE111" s="30">
        <f t="shared" si="59"/>
        <v>0</v>
      </c>
      <c r="AF111" s="30">
        <f t="shared" si="60"/>
        <v>0</v>
      </c>
      <c r="AG111" s="30">
        <f t="shared" si="61"/>
        <v>0</v>
      </c>
      <c r="AI111" s="95">
        <f t="shared" si="62"/>
        <v>0</v>
      </c>
      <c r="AJ111" s="95">
        <f t="shared" si="63"/>
        <v>0</v>
      </c>
      <c r="AK111" s="95">
        <f t="shared" si="64"/>
        <v>1034866.25</v>
      </c>
      <c r="AL111" s="95">
        <f t="shared" si="65"/>
        <v>0</v>
      </c>
      <c r="AM111" s="95">
        <f t="shared" si="66"/>
        <v>0</v>
      </c>
      <c r="AN111" s="95">
        <f t="shared" si="67"/>
        <v>0</v>
      </c>
      <c r="AO111" s="95">
        <f t="shared" si="68"/>
        <v>0</v>
      </c>
      <c r="AP111" s="95">
        <f t="shared" si="69"/>
        <v>0</v>
      </c>
      <c r="AQ111" s="95">
        <f t="shared" si="70"/>
        <v>0</v>
      </c>
      <c r="AR111" s="95">
        <f t="shared" si="71"/>
        <v>0</v>
      </c>
      <c r="AS111" s="95">
        <f t="shared" si="72"/>
        <v>0</v>
      </c>
    </row>
    <row r="112" spans="1:45" x14ac:dyDescent="0.2">
      <c r="A112" s="113" t="s">
        <v>0</v>
      </c>
      <c r="B112" s="10" t="s">
        <v>18</v>
      </c>
      <c r="C112" s="56">
        <v>21375</v>
      </c>
      <c r="D112" s="75">
        <v>20000</v>
      </c>
      <c r="E112" s="56" t="s">
        <v>117</v>
      </c>
      <c r="F112" s="69">
        <v>0.1052</v>
      </c>
      <c r="G112" s="69">
        <v>1.1000000000000001E-3</v>
      </c>
      <c r="H112" s="72">
        <f t="shared" si="74"/>
        <v>0.10630000000000001</v>
      </c>
      <c r="I112" s="63">
        <v>36525</v>
      </c>
      <c r="J112" s="64">
        <v>39141</v>
      </c>
      <c r="K112">
        <v>366</v>
      </c>
      <c r="L112">
        <v>365</v>
      </c>
      <c r="M112">
        <v>365</v>
      </c>
      <c r="N112">
        <v>365</v>
      </c>
      <c r="O112">
        <v>366</v>
      </c>
      <c r="P112">
        <v>365</v>
      </c>
      <c r="Q112">
        <v>365</v>
      </c>
      <c r="R112">
        <v>59</v>
      </c>
      <c r="S112">
        <v>0</v>
      </c>
      <c r="T112">
        <v>0</v>
      </c>
      <c r="U112">
        <v>0</v>
      </c>
      <c r="W112" s="30">
        <f t="shared" si="51"/>
        <v>7320000</v>
      </c>
      <c r="X112" s="30">
        <f t="shared" si="52"/>
        <v>7300000</v>
      </c>
      <c r="Y112" s="30">
        <f t="shared" si="53"/>
        <v>7300000</v>
      </c>
      <c r="Z112" s="30">
        <f t="shared" si="54"/>
        <v>7300000</v>
      </c>
      <c r="AA112" s="30">
        <f t="shared" si="55"/>
        <v>7320000</v>
      </c>
      <c r="AB112" s="30">
        <f t="shared" si="56"/>
        <v>7300000</v>
      </c>
      <c r="AC112" s="30">
        <f t="shared" si="57"/>
        <v>7300000</v>
      </c>
      <c r="AD112" s="30">
        <f t="shared" si="58"/>
        <v>1180000</v>
      </c>
      <c r="AE112" s="30">
        <f t="shared" si="59"/>
        <v>0</v>
      </c>
      <c r="AF112" s="30">
        <f t="shared" si="60"/>
        <v>0</v>
      </c>
      <c r="AG112" s="30">
        <f t="shared" si="61"/>
        <v>0</v>
      </c>
      <c r="AI112" s="95">
        <f t="shared" si="62"/>
        <v>778116</v>
      </c>
      <c r="AJ112" s="95">
        <f t="shared" si="63"/>
        <v>775990</v>
      </c>
      <c r="AK112" s="95">
        <f t="shared" si="64"/>
        <v>775990</v>
      </c>
      <c r="AL112" s="95">
        <f t="shared" si="65"/>
        <v>775990</v>
      </c>
      <c r="AM112" s="95">
        <f t="shared" si="66"/>
        <v>778116</v>
      </c>
      <c r="AN112" s="95">
        <f t="shared" si="67"/>
        <v>775990</v>
      </c>
      <c r="AO112" s="95">
        <f t="shared" si="68"/>
        <v>775990</v>
      </c>
      <c r="AP112" s="95">
        <f t="shared" si="69"/>
        <v>125434</v>
      </c>
      <c r="AQ112" s="95">
        <f t="shared" si="70"/>
        <v>0</v>
      </c>
      <c r="AR112" s="95">
        <f t="shared" si="71"/>
        <v>0</v>
      </c>
      <c r="AS112" s="95">
        <f t="shared" si="72"/>
        <v>0</v>
      </c>
    </row>
    <row r="113" spans="1:45" x14ac:dyDescent="0.2">
      <c r="A113" s="118" t="s">
        <v>0</v>
      </c>
      <c r="B113" s="10" t="s">
        <v>49</v>
      </c>
      <c r="C113" s="56">
        <v>26816</v>
      </c>
      <c r="D113" s="75">
        <v>21500</v>
      </c>
      <c r="E113" s="57" t="s">
        <v>115</v>
      </c>
      <c r="F113" s="69">
        <v>0.10199999999999999</v>
      </c>
      <c r="G113" s="69">
        <v>1.1000000000000001E-3</v>
      </c>
      <c r="H113" s="72">
        <f t="shared" si="74"/>
        <v>0.1031</v>
      </c>
      <c r="I113" s="63">
        <v>36646</v>
      </c>
      <c r="J113" s="64">
        <v>38472</v>
      </c>
      <c r="K113">
        <v>245</v>
      </c>
      <c r="L113">
        <v>365</v>
      </c>
      <c r="M113">
        <v>365</v>
      </c>
      <c r="N113">
        <v>365</v>
      </c>
      <c r="O113">
        <v>366</v>
      </c>
      <c r="P113">
        <v>120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51"/>
        <v>5267500</v>
      </c>
      <c r="X113" s="30">
        <f t="shared" si="52"/>
        <v>7847500</v>
      </c>
      <c r="Y113" s="30">
        <f t="shared" si="53"/>
        <v>7847500</v>
      </c>
      <c r="Z113" s="30">
        <f t="shared" si="54"/>
        <v>7847500</v>
      </c>
      <c r="AA113" s="30">
        <f t="shared" si="55"/>
        <v>7869000</v>
      </c>
      <c r="AB113" s="30">
        <f t="shared" si="56"/>
        <v>2580000</v>
      </c>
      <c r="AC113" s="30">
        <f t="shared" si="57"/>
        <v>0</v>
      </c>
      <c r="AD113" s="30">
        <f t="shared" si="58"/>
        <v>0</v>
      </c>
      <c r="AE113" s="30">
        <f t="shared" si="59"/>
        <v>0</v>
      </c>
      <c r="AF113" s="30">
        <f t="shared" si="60"/>
        <v>0</v>
      </c>
      <c r="AG113" s="30">
        <f t="shared" si="61"/>
        <v>0</v>
      </c>
      <c r="AI113" s="95">
        <f t="shared" si="62"/>
        <v>543079.25</v>
      </c>
      <c r="AJ113" s="95">
        <f t="shared" si="63"/>
        <v>809077.25</v>
      </c>
      <c r="AK113" s="95">
        <f t="shared" si="64"/>
        <v>809077.25</v>
      </c>
      <c r="AL113" s="95">
        <f t="shared" si="65"/>
        <v>809077.25</v>
      </c>
      <c r="AM113" s="95">
        <f t="shared" si="66"/>
        <v>811293.9</v>
      </c>
      <c r="AN113" s="95">
        <f t="shared" si="67"/>
        <v>265998</v>
      </c>
      <c r="AO113" s="95">
        <f t="shared" si="68"/>
        <v>0</v>
      </c>
      <c r="AP113" s="95">
        <f t="shared" si="69"/>
        <v>0</v>
      </c>
      <c r="AQ113" s="95">
        <f t="shared" si="70"/>
        <v>0</v>
      </c>
      <c r="AR113" s="95">
        <f t="shared" si="71"/>
        <v>0</v>
      </c>
      <c r="AS113" s="95">
        <f t="shared" si="72"/>
        <v>0</v>
      </c>
    </row>
    <row r="114" spans="1:45" x14ac:dyDescent="0.2">
      <c r="A114" s="118" t="s">
        <v>0</v>
      </c>
      <c r="B114" s="10" t="s">
        <v>49</v>
      </c>
      <c r="C114" s="56">
        <v>27504</v>
      </c>
      <c r="D114" s="75">
        <v>35000</v>
      </c>
      <c r="E114" s="56" t="s">
        <v>122</v>
      </c>
      <c r="F114" s="69">
        <v>0.10199999999999999</v>
      </c>
      <c r="G114" s="69">
        <v>1.1000000000000001E-3</v>
      </c>
      <c r="H114" s="72">
        <f t="shared" si="74"/>
        <v>0.1031</v>
      </c>
      <c r="I114" s="63">
        <v>37986</v>
      </c>
      <c r="J114" s="64">
        <v>38717</v>
      </c>
      <c r="K114">
        <v>0</v>
      </c>
      <c r="L114">
        <v>0</v>
      </c>
      <c r="M114">
        <v>0</v>
      </c>
      <c r="N114">
        <v>0</v>
      </c>
      <c r="O114">
        <v>366</v>
      </c>
      <c r="P114">
        <v>365</v>
      </c>
      <c r="Q114">
        <v>0</v>
      </c>
      <c r="R114">
        <v>0</v>
      </c>
      <c r="S114">
        <v>0</v>
      </c>
      <c r="T114">
        <v>0</v>
      </c>
      <c r="U114">
        <v>0</v>
      </c>
      <c r="W114" s="30">
        <f t="shared" si="51"/>
        <v>0</v>
      </c>
      <c r="X114" s="30">
        <f t="shared" si="52"/>
        <v>0</v>
      </c>
      <c r="Y114" s="30">
        <f t="shared" si="53"/>
        <v>0</v>
      </c>
      <c r="Z114" s="30">
        <f t="shared" si="54"/>
        <v>0</v>
      </c>
      <c r="AA114" s="30">
        <f t="shared" si="55"/>
        <v>12810000</v>
      </c>
      <c r="AB114" s="30">
        <f t="shared" si="56"/>
        <v>12775000</v>
      </c>
      <c r="AC114" s="30">
        <f t="shared" si="57"/>
        <v>0</v>
      </c>
      <c r="AD114" s="30">
        <f t="shared" si="58"/>
        <v>0</v>
      </c>
      <c r="AE114" s="30">
        <f t="shared" si="59"/>
        <v>0</v>
      </c>
      <c r="AF114" s="30">
        <f t="shared" si="60"/>
        <v>0</v>
      </c>
      <c r="AG114" s="30">
        <f t="shared" si="61"/>
        <v>0</v>
      </c>
      <c r="AI114" s="95">
        <f t="shared" si="62"/>
        <v>0</v>
      </c>
      <c r="AJ114" s="95">
        <f t="shared" si="63"/>
        <v>0</v>
      </c>
      <c r="AK114" s="95">
        <f t="shared" si="64"/>
        <v>0</v>
      </c>
      <c r="AL114" s="95">
        <f t="shared" si="65"/>
        <v>0</v>
      </c>
      <c r="AM114" s="95">
        <f t="shared" si="66"/>
        <v>1320711</v>
      </c>
      <c r="AN114" s="95">
        <f t="shared" si="67"/>
        <v>1317102.5</v>
      </c>
      <c r="AO114" s="95">
        <f t="shared" si="68"/>
        <v>0</v>
      </c>
      <c r="AP114" s="95">
        <f t="shared" si="69"/>
        <v>0</v>
      </c>
      <c r="AQ114" s="95">
        <f t="shared" si="70"/>
        <v>0</v>
      </c>
      <c r="AR114" s="95">
        <f t="shared" si="71"/>
        <v>0</v>
      </c>
      <c r="AS114" s="95">
        <f t="shared" si="72"/>
        <v>0</v>
      </c>
    </row>
    <row r="115" spans="1:45" x14ac:dyDescent="0.2">
      <c r="A115" s="118" t="s">
        <v>0</v>
      </c>
      <c r="B115" s="10" t="s">
        <v>23</v>
      </c>
      <c r="C115" s="56">
        <v>24670</v>
      </c>
      <c r="D115" s="75">
        <v>10000</v>
      </c>
      <c r="E115" s="56" t="s">
        <v>121</v>
      </c>
      <c r="F115" s="69">
        <v>0.10199999999999999</v>
      </c>
      <c r="G115" s="69">
        <v>1.1000000000000001E-3</v>
      </c>
      <c r="H115" s="72">
        <f t="shared" si="74"/>
        <v>0.1031</v>
      </c>
      <c r="I115" s="63">
        <v>36525</v>
      </c>
      <c r="J115" s="64">
        <v>39202</v>
      </c>
      <c r="K115">
        <v>366</v>
      </c>
      <c r="L115">
        <v>365</v>
      </c>
      <c r="M115">
        <v>365</v>
      </c>
      <c r="N115">
        <v>365</v>
      </c>
      <c r="O115">
        <v>366</v>
      </c>
      <c r="P115">
        <v>365</v>
      </c>
      <c r="Q115">
        <v>365</v>
      </c>
      <c r="R115">
        <v>120</v>
      </c>
      <c r="S115">
        <v>0</v>
      </c>
      <c r="T115">
        <v>0</v>
      </c>
      <c r="U115">
        <v>0</v>
      </c>
      <c r="W115" s="30">
        <f t="shared" si="51"/>
        <v>3660000</v>
      </c>
      <c r="X115" s="30">
        <f t="shared" si="52"/>
        <v>3650000</v>
      </c>
      <c r="Y115" s="30">
        <f t="shared" si="53"/>
        <v>3650000</v>
      </c>
      <c r="Z115" s="30">
        <f t="shared" si="54"/>
        <v>3650000</v>
      </c>
      <c r="AA115" s="30">
        <f t="shared" si="55"/>
        <v>3660000</v>
      </c>
      <c r="AB115" s="30">
        <f t="shared" si="56"/>
        <v>3650000</v>
      </c>
      <c r="AC115" s="30">
        <f t="shared" si="57"/>
        <v>3650000</v>
      </c>
      <c r="AD115" s="30">
        <f t="shared" si="58"/>
        <v>1200000</v>
      </c>
      <c r="AE115" s="30">
        <f t="shared" si="59"/>
        <v>0</v>
      </c>
      <c r="AF115" s="30">
        <f t="shared" si="60"/>
        <v>0</v>
      </c>
      <c r="AG115" s="30">
        <f t="shared" si="61"/>
        <v>0</v>
      </c>
      <c r="AI115" s="95">
        <f t="shared" si="62"/>
        <v>377346</v>
      </c>
      <c r="AJ115" s="95">
        <f t="shared" si="63"/>
        <v>376315</v>
      </c>
      <c r="AK115" s="95">
        <f t="shared" si="64"/>
        <v>376315</v>
      </c>
      <c r="AL115" s="95">
        <f t="shared" si="65"/>
        <v>376315</v>
      </c>
      <c r="AM115" s="95">
        <f t="shared" si="66"/>
        <v>377346</v>
      </c>
      <c r="AN115" s="95">
        <f t="shared" si="67"/>
        <v>376315</v>
      </c>
      <c r="AO115" s="95">
        <f t="shared" si="68"/>
        <v>376315</v>
      </c>
      <c r="AP115" s="95">
        <f t="shared" si="69"/>
        <v>123720</v>
      </c>
      <c r="AQ115" s="95">
        <f t="shared" si="70"/>
        <v>0</v>
      </c>
      <c r="AR115" s="95">
        <f t="shared" si="71"/>
        <v>0</v>
      </c>
      <c r="AS115" s="95">
        <f t="shared" si="72"/>
        <v>0</v>
      </c>
    </row>
    <row r="116" spans="1:45" x14ac:dyDescent="0.2">
      <c r="A116" s="113" t="s">
        <v>0</v>
      </c>
      <c r="B116" s="10" t="s">
        <v>15</v>
      </c>
      <c r="C116" s="56">
        <v>20715</v>
      </c>
      <c r="D116" s="75">
        <v>200000</v>
      </c>
      <c r="E116" s="56" t="s">
        <v>117</v>
      </c>
      <c r="F116" s="69">
        <v>0.1052</v>
      </c>
      <c r="G116" s="69">
        <v>1.1000000000000001E-3</v>
      </c>
      <c r="H116" s="72">
        <f t="shared" si="74"/>
        <v>0.10630000000000001</v>
      </c>
      <c r="I116" s="63">
        <v>36525</v>
      </c>
      <c r="J116" s="64">
        <v>38656</v>
      </c>
      <c r="K116">
        <v>366</v>
      </c>
      <c r="L116">
        <v>365</v>
      </c>
      <c r="M116">
        <v>365</v>
      </c>
      <c r="N116">
        <v>365</v>
      </c>
      <c r="O116">
        <v>366</v>
      </c>
      <c r="P116">
        <v>304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51"/>
        <v>73200000</v>
      </c>
      <c r="X116" s="30">
        <f t="shared" si="52"/>
        <v>73000000</v>
      </c>
      <c r="Y116" s="30">
        <f t="shared" si="53"/>
        <v>73000000</v>
      </c>
      <c r="Z116" s="30">
        <f t="shared" si="54"/>
        <v>73000000</v>
      </c>
      <c r="AA116" s="30">
        <f t="shared" si="55"/>
        <v>73200000</v>
      </c>
      <c r="AB116" s="30">
        <f t="shared" si="56"/>
        <v>60800000</v>
      </c>
      <c r="AC116" s="30">
        <f t="shared" si="57"/>
        <v>0</v>
      </c>
      <c r="AD116" s="30">
        <f t="shared" si="58"/>
        <v>0</v>
      </c>
      <c r="AE116" s="30">
        <f t="shared" si="59"/>
        <v>0</v>
      </c>
      <c r="AF116" s="30">
        <f t="shared" si="60"/>
        <v>0</v>
      </c>
      <c r="AG116" s="30">
        <f t="shared" si="61"/>
        <v>0</v>
      </c>
      <c r="AI116" s="95">
        <f t="shared" si="62"/>
        <v>7781160</v>
      </c>
      <c r="AJ116" s="95">
        <f t="shared" si="63"/>
        <v>7759900</v>
      </c>
      <c r="AK116" s="95">
        <f t="shared" si="64"/>
        <v>7759900</v>
      </c>
      <c r="AL116" s="95">
        <f t="shared" si="65"/>
        <v>7759900</v>
      </c>
      <c r="AM116" s="95">
        <f t="shared" si="66"/>
        <v>7781160</v>
      </c>
      <c r="AN116" s="95">
        <f t="shared" si="67"/>
        <v>6463040</v>
      </c>
      <c r="AO116" s="95">
        <f t="shared" si="68"/>
        <v>0</v>
      </c>
      <c r="AP116" s="95">
        <f t="shared" si="69"/>
        <v>0</v>
      </c>
      <c r="AQ116" s="95">
        <f t="shared" si="70"/>
        <v>0</v>
      </c>
      <c r="AR116" s="95">
        <f t="shared" si="71"/>
        <v>0</v>
      </c>
      <c r="AS116" s="95">
        <f t="shared" si="72"/>
        <v>0</v>
      </c>
    </row>
    <row r="117" spans="1:45" x14ac:dyDescent="0.2">
      <c r="A117" s="118" t="s">
        <v>0</v>
      </c>
      <c r="B117" s="10" t="s">
        <v>48</v>
      </c>
      <c r="C117" s="56">
        <v>26719</v>
      </c>
      <c r="D117" s="75">
        <v>25000</v>
      </c>
      <c r="E117" s="57" t="s">
        <v>115</v>
      </c>
      <c r="F117" s="69">
        <v>0.10199999999999999</v>
      </c>
      <c r="G117" s="69">
        <v>1.1000000000000001E-3</v>
      </c>
      <c r="H117" s="72">
        <f t="shared" si="74"/>
        <v>0.1031</v>
      </c>
      <c r="I117" s="63">
        <v>36646</v>
      </c>
      <c r="J117" s="64">
        <v>38472</v>
      </c>
      <c r="K117">
        <v>245</v>
      </c>
      <c r="L117">
        <v>365</v>
      </c>
      <c r="M117">
        <v>365</v>
      </c>
      <c r="N117">
        <v>365</v>
      </c>
      <c r="O117">
        <v>366</v>
      </c>
      <c r="P117">
        <v>120</v>
      </c>
      <c r="Q117">
        <v>0</v>
      </c>
      <c r="R117">
        <v>0</v>
      </c>
      <c r="S117">
        <v>0</v>
      </c>
      <c r="T117">
        <v>0</v>
      </c>
      <c r="U117">
        <v>0</v>
      </c>
      <c r="W117" s="30">
        <f t="shared" si="51"/>
        <v>6125000</v>
      </c>
      <c r="X117" s="30">
        <f t="shared" si="52"/>
        <v>9125000</v>
      </c>
      <c r="Y117" s="30">
        <f t="shared" si="53"/>
        <v>9125000</v>
      </c>
      <c r="Z117" s="30">
        <f t="shared" si="54"/>
        <v>9125000</v>
      </c>
      <c r="AA117" s="30">
        <f t="shared" si="55"/>
        <v>9150000</v>
      </c>
      <c r="AB117" s="30">
        <f t="shared" si="56"/>
        <v>3000000</v>
      </c>
      <c r="AC117" s="30">
        <f t="shared" si="57"/>
        <v>0</v>
      </c>
      <c r="AD117" s="30">
        <f t="shared" si="58"/>
        <v>0</v>
      </c>
      <c r="AE117" s="30">
        <f t="shared" si="59"/>
        <v>0</v>
      </c>
      <c r="AF117" s="30">
        <f t="shared" si="60"/>
        <v>0</v>
      </c>
      <c r="AG117" s="30">
        <f t="shared" si="61"/>
        <v>0</v>
      </c>
      <c r="AI117" s="95">
        <f t="shared" si="62"/>
        <v>631487.5</v>
      </c>
      <c r="AJ117" s="95">
        <f t="shared" si="63"/>
        <v>940787.5</v>
      </c>
      <c r="AK117" s="95">
        <f t="shared" si="64"/>
        <v>940787.5</v>
      </c>
      <c r="AL117" s="95">
        <f t="shared" si="65"/>
        <v>940787.5</v>
      </c>
      <c r="AM117" s="95">
        <f t="shared" si="66"/>
        <v>943365</v>
      </c>
      <c r="AN117" s="95">
        <f t="shared" si="67"/>
        <v>309300</v>
      </c>
      <c r="AO117" s="95">
        <f t="shared" si="68"/>
        <v>0</v>
      </c>
      <c r="AP117" s="95">
        <f t="shared" si="69"/>
        <v>0</v>
      </c>
      <c r="AQ117" s="95">
        <f t="shared" si="70"/>
        <v>0</v>
      </c>
      <c r="AR117" s="95">
        <f t="shared" si="71"/>
        <v>0</v>
      </c>
      <c r="AS117" s="95">
        <f t="shared" si="72"/>
        <v>0</v>
      </c>
    </row>
    <row r="118" spans="1:45" x14ac:dyDescent="0.2">
      <c r="A118" s="118" t="s">
        <v>0</v>
      </c>
      <c r="B118" s="10" t="s">
        <v>55</v>
      </c>
      <c r="C118" s="56">
        <v>26960</v>
      </c>
      <c r="D118" s="75">
        <v>20000</v>
      </c>
      <c r="E118" s="57" t="s">
        <v>115</v>
      </c>
      <c r="F118" s="69">
        <v>0.10199999999999999</v>
      </c>
      <c r="G118" s="69">
        <v>1.1000000000000001E-3</v>
      </c>
      <c r="H118" s="72">
        <f t="shared" si="74"/>
        <v>0.1031</v>
      </c>
      <c r="I118" s="63">
        <v>36525</v>
      </c>
      <c r="J118" s="64">
        <v>38077</v>
      </c>
      <c r="K118">
        <v>366</v>
      </c>
      <c r="L118">
        <v>365</v>
      </c>
      <c r="M118">
        <v>365</v>
      </c>
      <c r="N118">
        <v>365</v>
      </c>
      <c r="O118">
        <v>91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51"/>
        <v>7320000</v>
      </c>
      <c r="X118" s="30">
        <f t="shared" si="52"/>
        <v>7300000</v>
      </c>
      <c r="Y118" s="30">
        <f t="shared" si="53"/>
        <v>7300000</v>
      </c>
      <c r="Z118" s="30">
        <f t="shared" si="54"/>
        <v>7300000</v>
      </c>
      <c r="AA118" s="30">
        <f t="shared" si="55"/>
        <v>1820000</v>
      </c>
      <c r="AB118" s="30">
        <f t="shared" si="56"/>
        <v>0</v>
      </c>
      <c r="AC118" s="30">
        <f t="shared" si="57"/>
        <v>0</v>
      </c>
      <c r="AD118" s="30">
        <f t="shared" si="58"/>
        <v>0</v>
      </c>
      <c r="AE118" s="30">
        <f t="shared" si="59"/>
        <v>0</v>
      </c>
      <c r="AF118" s="30">
        <f t="shared" si="60"/>
        <v>0</v>
      </c>
      <c r="AG118" s="30">
        <f t="shared" si="61"/>
        <v>0</v>
      </c>
      <c r="AI118" s="95">
        <f t="shared" si="62"/>
        <v>754692</v>
      </c>
      <c r="AJ118" s="95">
        <f t="shared" si="63"/>
        <v>752630</v>
      </c>
      <c r="AK118" s="95">
        <f t="shared" si="64"/>
        <v>752630</v>
      </c>
      <c r="AL118" s="95">
        <f t="shared" si="65"/>
        <v>752630</v>
      </c>
      <c r="AM118" s="95">
        <f t="shared" si="66"/>
        <v>187642</v>
      </c>
      <c r="AN118" s="95">
        <f t="shared" si="67"/>
        <v>0</v>
      </c>
      <c r="AO118" s="95">
        <f t="shared" si="68"/>
        <v>0</v>
      </c>
      <c r="AP118" s="95">
        <f t="shared" si="69"/>
        <v>0</v>
      </c>
      <c r="AQ118" s="95">
        <f t="shared" si="70"/>
        <v>0</v>
      </c>
      <c r="AR118" s="95">
        <f t="shared" si="71"/>
        <v>0</v>
      </c>
      <c r="AS118" s="95">
        <f t="shared" si="72"/>
        <v>0</v>
      </c>
    </row>
    <row r="119" spans="1:45" x14ac:dyDescent="0.2">
      <c r="A119" s="104" t="s">
        <v>0</v>
      </c>
      <c r="B119" s="10" t="s">
        <v>19</v>
      </c>
      <c r="C119" s="56">
        <v>24809</v>
      </c>
      <c r="D119" s="75">
        <v>20000</v>
      </c>
      <c r="E119" s="56" t="s">
        <v>118</v>
      </c>
      <c r="F119" s="69">
        <v>0.10199999999999999</v>
      </c>
      <c r="G119" s="69">
        <v>1.1000000000000001E-3</v>
      </c>
      <c r="H119" s="72">
        <f t="shared" si="74"/>
        <v>0.1031</v>
      </c>
      <c r="I119" s="63">
        <v>36525</v>
      </c>
      <c r="J119" s="64">
        <v>37225</v>
      </c>
      <c r="K119">
        <v>366</v>
      </c>
      <c r="L119">
        <v>334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51"/>
        <v>7320000</v>
      </c>
      <c r="X119" s="30">
        <f t="shared" si="52"/>
        <v>6680000</v>
      </c>
      <c r="Y119" s="30">
        <f t="shared" si="53"/>
        <v>0</v>
      </c>
      <c r="Z119" s="30">
        <f t="shared" si="54"/>
        <v>0</v>
      </c>
      <c r="AA119" s="30">
        <f t="shared" si="55"/>
        <v>0</v>
      </c>
      <c r="AB119" s="30">
        <f t="shared" si="56"/>
        <v>0</v>
      </c>
      <c r="AC119" s="30">
        <f t="shared" si="57"/>
        <v>0</v>
      </c>
      <c r="AD119" s="30">
        <f t="shared" si="58"/>
        <v>0</v>
      </c>
      <c r="AE119" s="30">
        <f t="shared" si="59"/>
        <v>0</v>
      </c>
      <c r="AF119" s="30">
        <f t="shared" si="60"/>
        <v>0</v>
      </c>
      <c r="AG119" s="30">
        <f t="shared" si="61"/>
        <v>0</v>
      </c>
      <c r="AI119" s="95">
        <f t="shared" si="62"/>
        <v>754692</v>
      </c>
      <c r="AJ119" s="95">
        <f t="shared" si="63"/>
        <v>688708</v>
      </c>
      <c r="AK119" s="95">
        <f t="shared" si="64"/>
        <v>0</v>
      </c>
      <c r="AL119" s="95">
        <f t="shared" si="65"/>
        <v>0</v>
      </c>
      <c r="AM119" s="95">
        <f t="shared" si="66"/>
        <v>0</v>
      </c>
      <c r="AN119" s="95">
        <f t="shared" si="67"/>
        <v>0</v>
      </c>
      <c r="AO119" s="95">
        <f t="shared" si="68"/>
        <v>0</v>
      </c>
      <c r="AP119" s="95">
        <f t="shared" si="69"/>
        <v>0</v>
      </c>
      <c r="AQ119" s="95">
        <f t="shared" si="70"/>
        <v>0</v>
      </c>
      <c r="AR119" s="95">
        <f t="shared" si="71"/>
        <v>0</v>
      </c>
      <c r="AS119" s="95">
        <f t="shared" si="72"/>
        <v>0</v>
      </c>
    </row>
    <row r="120" spans="1:45" x14ac:dyDescent="0.2">
      <c r="A120" s="10" t="s">
        <v>24</v>
      </c>
      <c r="C120"/>
      <c r="D120" s="73"/>
      <c r="E120" s="11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5"/>
      <c r="AI120" s="95">
        <f>SUM(AI89:AI119)</f>
        <v>31821188.960000001</v>
      </c>
      <c r="AJ120" s="95">
        <f t="shared" ref="AJ120:AS120" si="75">SUM(AJ89:AJ119)</f>
        <v>32456436.25</v>
      </c>
      <c r="AK120" s="95">
        <f t="shared" si="75"/>
        <v>31369818.800000001</v>
      </c>
      <c r="AL120" s="95">
        <f t="shared" si="75"/>
        <v>30909371.66</v>
      </c>
      <c r="AM120" s="95">
        <f t="shared" si="75"/>
        <v>30292752.399999999</v>
      </c>
      <c r="AN120" s="95">
        <f t="shared" si="75"/>
        <v>27299865.25</v>
      </c>
      <c r="AO120" s="95">
        <f t="shared" si="75"/>
        <v>16908199.75</v>
      </c>
      <c r="AP120" s="95">
        <f t="shared" si="75"/>
        <v>5634681.6500000004</v>
      </c>
      <c r="AQ120" s="95">
        <f t="shared" si="75"/>
        <v>0</v>
      </c>
      <c r="AR120" s="95">
        <f t="shared" si="75"/>
        <v>0</v>
      </c>
      <c r="AS120" s="95">
        <f t="shared" si="75"/>
        <v>0</v>
      </c>
    </row>
    <row r="121" spans="1:45" x14ac:dyDescent="0.2">
      <c r="C121"/>
      <c r="D121"/>
      <c r="E121" s="11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</row>
    <row r="122" spans="1:45" x14ac:dyDescent="0.2">
      <c r="A122" s="10" t="s">
        <v>79</v>
      </c>
      <c r="C122"/>
      <c r="D122" s="96">
        <v>0.12071516913650263</v>
      </c>
      <c r="E122" s="11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3"/>
      <c r="S122" s="93"/>
      <c r="T122" s="93"/>
      <c r="U122" s="93"/>
      <c r="V122" s="93"/>
      <c r="W122" s="93">
        <f>SUM(W89:W119)</f>
        <v>303854236</v>
      </c>
      <c r="X122" s="93">
        <f t="shared" ref="X122:AG122" si="76">SUM(X89:X119)</f>
        <v>310028790</v>
      </c>
      <c r="Y122" s="93">
        <f t="shared" si="76"/>
        <v>299679290</v>
      </c>
      <c r="Z122" s="93">
        <f t="shared" si="76"/>
        <v>295249890</v>
      </c>
      <c r="AA122" s="93">
        <f t="shared" si="76"/>
        <v>288764000</v>
      </c>
      <c r="AB122" s="93">
        <f t="shared" si="76"/>
        <v>260127500</v>
      </c>
      <c r="AC122" s="93">
        <f t="shared" si="76"/>
        <v>161222500</v>
      </c>
      <c r="AD122" s="93">
        <f t="shared" si="76"/>
        <v>54011500</v>
      </c>
      <c r="AE122" s="93">
        <f t="shared" si="76"/>
        <v>0</v>
      </c>
      <c r="AF122" s="93">
        <f t="shared" si="76"/>
        <v>0</v>
      </c>
      <c r="AG122" s="93">
        <f t="shared" si="76"/>
        <v>0</v>
      </c>
      <c r="AH122" s="95"/>
      <c r="AI122" s="95"/>
      <c r="AJ122" s="95"/>
      <c r="AK122" s="95"/>
      <c r="AL122" s="95"/>
      <c r="AM122" s="95"/>
    </row>
    <row r="123" spans="1:45" x14ac:dyDescent="0.2">
      <c r="A123" s="10" t="s">
        <v>60</v>
      </c>
      <c r="C123"/>
      <c r="D123" s="73"/>
      <c r="E123" s="11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3"/>
      <c r="S123" s="93"/>
      <c r="T123" s="93"/>
      <c r="U123" s="93"/>
      <c r="V123" s="93"/>
      <c r="W123" s="93">
        <f>+W122/K6</f>
        <v>830202.83060109289</v>
      </c>
      <c r="X123" s="93">
        <f t="shared" ref="X123:AG123" si="77">+X122/L6</f>
        <v>849393.94520547939</v>
      </c>
      <c r="Y123" s="93">
        <f t="shared" si="77"/>
        <v>821039.15068493155</v>
      </c>
      <c r="Z123" s="93">
        <f t="shared" si="77"/>
        <v>808903.80821917811</v>
      </c>
      <c r="AA123" s="93">
        <f t="shared" si="77"/>
        <v>788972.67759562843</v>
      </c>
      <c r="AB123" s="93">
        <f t="shared" si="77"/>
        <v>712678.08219178079</v>
      </c>
      <c r="AC123" s="93">
        <f t="shared" si="77"/>
        <v>441705.47945205477</v>
      </c>
      <c r="AD123" s="93">
        <f t="shared" si="77"/>
        <v>147976.71232876711</v>
      </c>
      <c r="AE123" s="93">
        <f t="shared" si="77"/>
        <v>0</v>
      </c>
      <c r="AF123" s="93">
        <f t="shared" si="77"/>
        <v>0</v>
      </c>
      <c r="AG123" s="93">
        <f t="shared" si="77"/>
        <v>0</v>
      </c>
      <c r="AH123" s="98"/>
      <c r="AI123" s="98"/>
      <c r="AJ123" s="98"/>
      <c r="AK123" s="98"/>
      <c r="AL123" s="98"/>
      <c r="AM123" s="98"/>
      <c r="AN123" s="31"/>
    </row>
    <row r="124" spans="1:45" x14ac:dyDescent="0.2">
      <c r="A124" s="10" t="s">
        <v>66</v>
      </c>
      <c r="C124"/>
      <c r="D124" s="96">
        <v>8.6777386708011203E-2</v>
      </c>
      <c r="E124" s="11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3"/>
      <c r="S124" s="93"/>
      <c r="T124" s="93"/>
      <c r="U124" s="93"/>
      <c r="V124" s="93"/>
      <c r="W124" s="93">
        <f>850000-W123</f>
        <v>19797.169398907106</v>
      </c>
      <c r="X124" s="93">
        <f t="shared" ref="X124:AG124" si="78">850000-X123</f>
        <v>606.05479452060536</v>
      </c>
      <c r="Y124" s="93">
        <f t="shared" si="78"/>
        <v>28960.849315068452</v>
      </c>
      <c r="Z124" s="93">
        <f t="shared" si="78"/>
        <v>41096.191780821886</v>
      </c>
      <c r="AA124" s="93">
        <f t="shared" si="78"/>
        <v>61027.322404371575</v>
      </c>
      <c r="AB124" s="93">
        <f t="shared" si="78"/>
        <v>137321.91780821921</v>
      </c>
      <c r="AC124" s="93">
        <f t="shared" si="78"/>
        <v>408294.52054794523</v>
      </c>
      <c r="AD124" s="93">
        <f t="shared" si="78"/>
        <v>702023.28767123283</v>
      </c>
      <c r="AE124" s="93">
        <f t="shared" si="78"/>
        <v>850000</v>
      </c>
      <c r="AF124" s="93">
        <f t="shared" si="78"/>
        <v>850000</v>
      </c>
      <c r="AG124" s="93">
        <f t="shared" si="78"/>
        <v>850000</v>
      </c>
      <c r="AH124" s="95"/>
      <c r="AI124" s="95"/>
      <c r="AJ124" s="95"/>
      <c r="AK124" s="95"/>
      <c r="AL124" s="95"/>
      <c r="AM124" s="95"/>
    </row>
    <row r="125" spans="1:45" x14ac:dyDescent="0.2">
      <c r="A125" s="10" t="s">
        <v>139</v>
      </c>
      <c r="C125"/>
      <c r="D125" s="97"/>
      <c r="E125" s="11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</row>
    <row r="126" spans="1:45" x14ac:dyDescent="0.2">
      <c r="A126" s="10"/>
      <c r="C126"/>
      <c r="D126" s="97"/>
      <c r="E126" s="11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</row>
    <row r="127" spans="1:45" x14ac:dyDescent="0.2">
      <c r="A127" s="10"/>
      <c r="C127"/>
      <c r="D127" s="97"/>
      <c r="E127" s="11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</row>
    <row r="128" spans="1:45" x14ac:dyDescent="0.2">
      <c r="K128" s="127" t="s">
        <v>3</v>
      </c>
      <c r="L128" s="128"/>
      <c r="M128" s="128"/>
      <c r="N128" s="128"/>
      <c r="O128" s="128"/>
      <c r="P128" s="128"/>
      <c r="Q128" s="128"/>
      <c r="R128" s="128"/>
      <c r="S128" s="128"/>
      <c r="T128" s="128"/>
      <c r="U128" s="129"/>
      <c r="V128" s="3"/>
      <c r="W128" s="130" t="s">
        <v>4</v>
      </c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2"/>
      <c r="AI128" s="130" t="s">
        <v>5</v>
      </c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2"/>
    </row>
    <row r="129" spans="1:45" ht="13.5" thickBot="1" x14ac:dyDescent="0.25">
      <c r="A129" s="52" t="s">
        <v>108</v>
      </c>
      <c r="B129" s="52" t="s">
        <v>6</v>
      </c>
      <c r="C129" s="55" t="s">
        <v>7</v>
      </c>
      <c r="D129" s="74" t="s">
        <v>111</v>
      </c>
      <c r="E129" s="55" t="s">
        <v>112</v>
      </c>
      <c r="F129" s="68" t="s">
        <v>113</v>
      </c>
      <c r="G129" s="68" t="s">
        <v>114</v>
      </c>
      <c r="H129" s="54" t="s">
        <v>109</v>
      </c>
      <c r="I129" s="53" t="s">
        <v>110</v>
      </c>
      <c r="J129" s="8" t="s">
        <v>2</v>
      </c>
      <c r="K129" s="6">
        <v>2000</v>
      </c>
      <c r="L129" s="6">
        <v>2001</v>
      </c>
      <c r="M129" s="6">
        <v>2002</v>
      </c>
      <c r="N129" s="6">
        <v>2003</v>
      </c>
      <c r="O129" s="6">
        <v>2004</v>
      </c>
      <c r="P129" s="6">
        <v>2005</v>
      </c>
      <c r="Q129" s="6">
        <v>2006</v>
      </c>
      <c r="R129" s="6">
        <v>2007</v>
      </c>
      <c r="S129" s="6">
        <v>2008</v>
      </c>
      <c r="T129" s="6">
        <v>2009</v>
      </c>
      <c r="U129" s="6">
        <v>2010</v>
      </c>
      <c r="V129" s="3"/>
      <c r="W129" s="7">
        <v>2000</v>
      </c>
      <c r="X129" s="8">
        <v>2001</v>
      </c>
      <c r="Y129" s="8">
        <v>2002</v>
      </c>
      <c r="Z129" s="8">
        <v>2003</v>
      </c>
      <c r="AA129" s="8">
        <v>2004</v>
      </c>
      <c r="AB129" s="8">
        <v>2005</v>
      </c>
      <c r="AC129" s="8">
        <v>2006</v>
      </c>
      <c r="AD129" s="8">
        <v>2007</v>
      </c>
      <c r="AE129" s="8">
        <v>2008</v>
      </c>
      <c r="AF129" s="8">
        <v>2009</v>
      </c>
      <c r="AG129" s="9">
        <v>2010</v>
      </c>
      <c r="AI129" s="7">
        <v>2000</v>
      </c>
      <c r="AJ129" s="8">
        <v>2001</v>
      </c>
      <c r="AK129" s="8">
        <v>2002</v>
      </c>
      <c r="AL129" s="8">
        <v>2003</v>
      </c>
      <c r="AM129" s="8">
        <v>2004</v>
      </c>
      <c r="AN129" s="8">
        <v>2005</v>
      </c>
      <c r="AO129" s="8">
        <v>2006</v>
      </c>
      <c r="AP129" s="8">
        <v>2007</v>
      </c>
      <c r="AQ129" s="8">
        <v>2008</v>
      </c>
      <c r="AR129" s="8">
        <v>2009</v>
      </c>
      <c r="AS129" s="9">
        <v>2010</v>
      </c>
    </row>
    <row r="130" spans="1:45" x14ac:dyDescent="0.2">
      <c r="A130" s="101" t="s">
        <v>72</v>
      </c>
      <c r="B130" s="10" t="s">
        <v>32</v>
      </c>
      <c r="C130" s="60">
        <v>26490</v>
      </c>
      <c r="D130" s="75">
        <v>70000</v>
      </c>
      <c r="E130" s="57" t="s">
        <v>115</v>
      </c>
      <c r="F130" s="69">
        <f>0.09-0.0153</f>
        <v>7.4700000000000003E-2</v>
      </c>
      <c r="G130" s="69">
        <v>1.5299999999999999E-2</v>
      </c>
      <c r="H130" s="72">
        <f t="shared" ref="H130:H169" si="79">+G130+F130</f>
        <v>0.09</v>
      </c>
      <c r="I130" s="63">
        <v>36100</v>
      </c>
      <c r="J130" s="64">
        <v>37925</v>
      </c>
      <c r="K130">
        <v>366</v>
      </c>
      <c r="L130">
        <v>365</v>
      </c>
      <c r="M130">
        <v>365</v>
      </c>
      <c r="N130">
        <v>304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ref="W130:W174" si="80">+K130*$D130</f>
        <v>25620000</v>
      </c>
      <c r="X130" s="30">
        <f t="shared" ref="X130:X174" si="81">+L130*$D130</f>
        <v>25550000</v>
      </c>
      <c r="Y130" s="30">
        <f t="shared" ref="Y130:Y174" si="82">+M130*$D130</f>
        <v>25550000</v>
      </c>
      <c r="Z130" s="30">
        <f t="shared" ref="Z130:Z174" si="83">+N130*$D130</f>
        <v>21280000</v>
      </c>
      <c r="AA130" s="30">
        <f t="shared" ref="AA130:AA174" si="84">+O130*$D130</f>
        <v>0</v>
      </c>
      <c r="AB130" s="30">
        <f t="shared" ref="AB130:AB174" si="85">+P130*$D130</f>
        <v>0</v>
      </c>
      <c r="AC130" s="30">
        <f t="shared" ref="AC130:AC174" si="86">+Q130*$D130</f>
        <v>0</v>
      </c>
      <c r="AD130" s="30">
        <f t="shared" ref="AD130:AD174" si="87">+R130*$D130</f>
        <v>0</v>
      </c>
      <c r="AE130" s="30">
        <f t="shared" ref="AE130:AE174" si="88">+S130*$D130</f>
        <v>0</v>
      </c>
      <c r="AF130" s="30">
        <f t="shared" ref="AF130:AF174" si="89">+T130*$D130</f>
        <v>0</v>
      </c>
      <c r="AG130" s="30">
        <f t="shared" ref="AG130:AG174" si="90">+U130*$D130</f>
        <v>0</v>
      </c>
      <c r="AI130" s="95">
        <f t="shared" ref="AI130:AI174" si="91">+W130*($F130+$G130)</f>
        <v>2305800</v>
      </c>
      <c r="AJ130" s="95">
        <f t="shared" ref="AJ130:AJ174" si="92">+X130*($F130+$G130)</f>
        <v>2299500</v>
      </c>
      <c r="AK130" s="95">
        <f t="shared" ref="AK130:AK174" si="93">+Y130*($F130+$G130)</f>
        <v>2299500</v>
      </c>
      <c r="AL130" s="95">
        <f t="shared" ref="AL130:AL174" si="94">+Z130*($F130+$G130)</f>
        <v>1915200</v>
      </c>
      <c r="AM130" s="95">
        <f t="shared" ref="AM130:AM174" si="95">+AA130*($F130+$G130)</f>
        <v>0</v>
      </c>
      <c r="AN130" s="95">
        <f t="shared" ref="AN130:AN174" si="96">+AB130*($F130+$G130)</f>
        <v>0</v>
      </c>
      <c r="AO130" s="95">
        <f t="shared" ref="AO130:AO174" si="97">+AC130*($F130+$G130)</f>
        <v>0</v>
      </c>
      <c r="AP130" s="95">
        <f t="shared" ref="AP130:AP174" si="98">+AD130*($F130+$G130)</f>
        <v>0</v>
      </c>
      <c r="AQ130" s="95">
        <f t="shared" ref="AQ130:AQ174" si="99">+AE130*($F130+$G130)</f>
        <v>0</v>
      </c>
      <c r="AR130" s="95">
        <f t="shared" ref="AR130:AR174" si="100">+AF130*($F130+$G130)</f>
        <v>0</v>
      </c>
      <c r="AS130" s="95">
        <f t="shared" ref="AS130:AS174" si="101">+AG130*($F130+$G130)</f>
        <v>0</v>
      </c>
    </row>
    <row r="131" spans="1:45" x14ac:dyDescent="0.2">
      <c r="A131" s="101" t="s">
        <v>72</v>
      </c>
      <c r="B131" s="10" t="s">
        <v>31</v>
      </c>
      <c r="C131" s="60">
        <v>27334</v>
      </c>
      <c r="D131" s="75">
        <v>14000</v>
      </c>
      <c r="E131" s="57" t="s">
        <v>115</v>
      </c>
      <c r="F131" s="69">
        <f>0.18-0.0153</f>
        <v>0.16469999999999999</v>
      </c>
      <c r="G131" s="69">
        <v>1.5299999999999999E-2</v>
      </c>
      <c r="H131" s="72">
        <f t="shared" si="79"/>
        <v>0.18</v>
      </c>
      <c r="I131" s="63">
        <v>36982</v>
      </c>
      <c r="J131" s="64">
        <v>37195</v>
      </c>
      <c r="K131">
        <v>0</v>
      </c>
      <c r="L131">
        <v>214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80"/>
        <v>0</v>
      </c>
      <c r="X131" s="30">
        <f t="shared" si="81"/>
        <v>2996000</v>
      </c>
      <c r="Y131" s="30">
        <f t="shared" si="82"/>
        <v>0</v>
      </c>
      <c r="Z131" s="30">
        <f t="shared" si="83"/>
        <v>0</v>
      </c>
      <c r="AA131" s="30">
        <f t="shared" si="84"/>
        <v>0</v>
      </c>
      <c r="AB131" s="30">
        <f t="shared" si="85"/>
        <v>0</v>
      </c>
      <c r="AC131" s="30">
        <f t="shared" si="86"/>
        <v>0</v>
      </c>
      <c r="AD131" s="30">
        <f t="shared" si="87"/>
        <v>0</v>
      </c>
      <c r="AE131" s="30">
        <f t="shared" si="88"/>
        <v>0</v>
      </c>
      <c r="AF131" s="30">
        <f t="shared" si="89"/>
        <v>0</v>
      </c>
      <c r="AG131" s="30">
        <f t="shared" si="90"/>
        <v>0</v>
      </c>
      <c r="AI131" s="95">
        <f t="shared" si="91"/>
        <v>0</v>
      </c>
      <c r="AJ131" s="95">
        <f t="shared" si="92"/>
        <v>539280</v>
      </c>
      <c r="AK131" s="95">
        <f t="shared" si="93"/>
        <v>0</v>
      </c>
      <c r="AL131" s="95">
        <f t="shared" si="94"/>
        <v>0</v>
      </c>
      <c r="AM131" s="95">
        <f t="shared" si="95"/>
        <v>0</v>
      </c>
      <c r="AN131" s="95">
        <f t="shared" si="96"/>
        <v>0</v>
      </c>
      <c r="AO131" s="95">
        <f t="shared" si="97"/>
        <v>0</v>
      </c>
      <c r="AP131" s="95">
        <f t="shared" si="98"/>
        <v>0</v>
      </c>
      <c r="AQ131" s="95">
        <f t="shared" si="99"/>
        <v>0</v>
      </c>
      <c r="AR131" s="95">
        <f t="shared" si="100"/>
        <v>0</v>
      </c>
      <c r="AS131" s="95">
        <f t="shared" si="101"/>
        <v>0</v>
      </c>
    </row>
    <row r="132" spans="1:45" x14ac:dyDescent="0.2">
      <c r="A132" s="101" t="s">
        <v>72</v>
      </c>
      <c r="B132" s="10" t="s">
        <v>31</v>
      </c>
      <c r="C132" s="60">
        <v>26683</v>
      </c>
      <c r="D132" s="75">
        <v>8000</v>
      </c>
      <c r="E132" s="56" t="s">
        <v>118</v>
      </c>
      <c r="F132" s="69">
        <v>0.25669999999999998</v>
      </c>
      <c r="G132" s="69">
        <v>1.3100000000000001E-2</v>
      </c>
      <c r="H132" s="72">
        <f t="shared" si="79"/>
        <v>0.26979999999999998</v>
      </c>
      <c r="I132" s="63">
        <v>36220</v>
      </c>
      <c r="J132" s="64">
        <v>37711</v>
      </c>
      <c r="K132">
        <v>366</v>
      </c>
      <c r="L132">
        <v>365</v>
      </c>
      <c r="M132">
        <v>365</v>
      </c>
      <c r="N132">
        <v>90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30">
        <f t="shared" si="80"/>
        <v>2928000</v>
      </c>
      <c r="X132" s="30">
        <f t="shared" si="81"/>
        <v>2920000</v>
      </c>
      <c r="Y132" s="30">
        <f t="shared" si="82"/>
        <v>2920000</v>
      </c>
      <c r="Z132" s="30">
        <f t="shared" si="83"/>
        <v>720000</v>
      </c>
      <c r="AA132" s="30">
        <f t="shared" si="84"/>
        <v>0</v>
      </c>
      <c r="AB132" s="30">
        <f t="shared" si="85"/>
        <v>0</v>
      </c>
      <c r="AC132" s="30">
        <f t="shared" si="86"/>
        <v>0</v>
      </c>
      <c r="AD132" s="30">
        <f t="shared" si="87"/>
        <v>0</v>
      </c>
      <c r="AE132" s="30">
        <f t="shared" si="88"/>
        <v>0</v>
      </c>
      <c r="AF132" s="30">
        <f t="shared" si="89"/>
        <v>0</v>
      </c>
      <c r="AG132" s="30">
        <f t="shared" si="90"/>
        <v>0</v>
      </c>
      <c r="AI132" s="95">
        <f t="shared" si="91"/>
        <v>789974.39999999991</v>
      </c>
      <c r="AJ132" s="95">
        <f t="shared" si="92"/>
        <v>787816</v>
      </c>
      <c r="AK132" s="95">
        <f t="shared" si="93"/>
        <v>787816</v>
      </c>
      <c r="AL132" s="95">
        <f t="shared" si="94"/>
        <v>194256</v>
      </c>
      <c r="AM132" s="95">
        <f t="shared" si="95"/>
        <v>0</v>
      </c>
      <c r="AN132" s="95">
        <f t="shared" si="96"/>
        <v>0</v>
      </c>
      <c r="AO132" s="95">
        <f t="shared" si="97"/>
        <v>0</v>
      </c>
      <c r="AP132" s="95">
        <f t="shared" si="98"/>
        <v>0</v>
      </c>
      <c r="AQ132" s="95">
        <f t="shared" si="99"/>
        <v>0</v>
      </c>
      <c r="AR132" s="95">
        <f t="shared" si="100"/>
        <v>0</v>
      </c>
      <c r="AS132" s="95">
        <f t="shared" si="101"/>
        <v>0</v>
      </c>
    </row>
    <row r="133" spans="1:45" x14ac:dyDescent="0.2">
      <c r="A133" s="120" t="s">
        <v>72</v>
      </c>
      <c r="B133" s="10" t="s">
        <v>11</v>
      </c>
      <c r="C133" s="56">
        <v>24736</v>
      </c>
      <c r="D133" s="75">
        <v>4000</v>
      </c>
      <c r="E133" s="56" t="s">
        <v>117</v>
      </c>
      <c r="F133" s="69">
        <v>0.26390000000000002</v>
      </c>
      <c r="G133" s="69">
        <v>1.5299999999999999E-2</v>
      </c>
      <c r="H133" s="72">
        <f t="shared" si="79"/>
        <v>0.2792</v>
      </c>
      <c r="I133" s="65"/>
      <c r="J133" s="64">
        <v>36616</v>
      </c>
      <c r="K133">
        <v>91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80"/>
        <v>364000</v>
      </c>
      <c r="X133" s="30">
        <f t="shared" si="81"/>
        <v>0</v>
      </c>
      <c r="Y133" s="30">
        <f t="shared" si="82"/>
        <v>0</v>
      </c>
      <c r="Z133" s="30">
        <f t="shared" si="83"/>
        <v>0</v>
      </c>
      <c r="AA133" s="30">
        <f t="shared" si="84"/>
        <v>0</v>
      </c>
      <c r="AB133" s="30">
        <f t="shared" si="85"/>
        <v>0</v>
      </c>
      <c r="AC133" s="30">
        <f t="shared" si="86"/>
        <v>0</v>
      </c>
      <c r="AD133" s="30">
        <f t="shared" si="87"/>
        <v>0</v>
      </c>
      <c r="AE133" s="30">
        <f t="shared" si="88"/>
        <v>0</v>
      </c>
      <c r="AF133" s="30">
        <f t="shared" si="89"/>
        <v>0</v>
      </c>
      <c r="AG133" s="30">
        <f t="shared" si="90"/>
        <v>0</v>
      </c>
      <c r="AI133" s="95">
        <f t="shared" si="91"/>
        <v>101628.8</v>
      </c>
      <c r="AJ133" s="95">
        <f t="shared" si="92"/>
        <v>0</v>
      </c>
      <c r="AK133" s="95">
        <f t="shared" si="93"/>
        <v>0</v>
      </c>
      <c r="AL133" s="95">
        <f t="shared" si="94"/>
        <v>0</v>
      </c>
      <c r="AM133" s="95">
        <f t="shared" si="95"/>
        <v>0</v>
      </c>
      <c r="AN133" s="95">
        <f t="shared" si="96"/>
        <v>0</v>
      </c>
      <c r="AO133" s="95">
        <f t="shared" si="97"/>
        <v>0</v>
      </c>
      <c r="AP133" s="95">
        <f t="shared" si="98"/>
        <v>0</v>
      </c>
      <c r="AQ133" s="95">
        <f t="shared" si="99"/>
        <v>0</v>
      </c>
      <c r="AR133" s="95">
        <f t="shared" si="100"/>
        <v>0</v>
      </c>
      <c r="AS133" s="95">
        <f t="shared" si="101"/>
        <v>0</v>
      </c>
    </row>
    <row r="134" spans="1:45" x14ac:dyDescent="0.2">
      <c r="A134" s="112" t="s">
        <v>72</v>
      </c>
      <c r="B134" s="49" t="s">
        <v>106</v>
      </c>
      <c r="C134" s="56">
        <v>25071</v>
      </c>
      <c r="D134" s="75">
        <v>90000</v>
      </c>
      <c r="E134" s="57" t="s">
        <v>115</v>
      </c>
      <c r="F134" s="69">
        <f>0.1564-0.102-0.0467</f>
        <v>7.7000000000000193E-3</v>
      </c>
      <c r="G134" s="69">
        <f>0.0186-0.0011-0.0033</f>
        <v>1.4199999999999997E-2</v>
      </c>
      <c r="H134" s="72">
        <f t="shared" si="79"/>
        <v>2.1900000000000017E-2</v>
      </c>
      <c r="I134" s="63">
        <v>35400</v>
      </c>
      <c r="J134" s="64">
        <v>39782</v>
      </c>
      <c r="K134">
        <v>366</v>
      </c>
      <c r="L134">
        <v>365</v>
      </c>
      <c r="M134">
        <v>365</v>
      </c>
      <c r="N134">
        <v>365</v>
      </c>
      <c r="O134">
        <v>366</v>
      </c>
      <c r="P134">
        <v>365</v>
      </c>
      <c r="Q134">
        <v>365</v>
      </c>
      <c r="R134">
        <v>365</v>
      </c>
      <c r="S134">
        <v>335</v>
      </c>
      <c r="T134">
        <v>0</v>
      </c>
      <c r="U134">
        <v>0</v>
      </c>
      <c r="W134" s="30">
        <f t="shared" si="80"/>
        <v>32940000</v>
      </c>
      <c r="X134" s="30">
        <f t="shared" si="81"/>
        <v>32850000</v>
      </c>
      <c r="Y134" s="30">
        <f t="shared" si="82"/>
        <v>32850000</v>
      </c>
      <c r="Z134" s="30">
        <f t="shared" si="83"/>
        <v>32850000</v>
      </c>
      <c r="AA134" s="30">
        <f t="shared" si="84"/>
        <v>32940000</v>
      </c>
      <c r="AB134" s="30">
        <f t="shared" si="85"/>
        <v>32850000</v>
      </c>
      <c r="AC134" s="30">
        <f t="shared" si="86"/>
        <v>32850000</v>
      </c>
      <c r="AD134" s="30">
        <f t="shared" si="87"/>
        <v>32850000</v>
      </c>
      <c r="AE134" s="30">
        <f t="shared" si="88"/>
        <v>30150000</v>
      </c>
      <c r="AF134" s="30">
        <f t="shared" si="89"/>
        <v>0</v>
      </c>
      <c r="AG134" s="30">
        <f t="shared" si="90"/>
        <v>0</v>
      </c>
      <c r="AI134" s="95">
        <f t="shared" si="91"/>
        <v>721386.00000000058</v>
      </c>
      <c r="AJ134" s="95">
        <f t="shared" si="92"/>
        <v>719415.00000000058</v>
      </c>
      <c r="AK134" s="95">
        <f t="shared" si="93"/>
        <v>719415.00000000058</v>
      </c>
      <c r="AL134" s="95">
        <f t="shared" si="94"/>
        <v>719415.00000000058</v>
      </c>
      <c r="AM134" s="95">
        <f t="shared" si="95"/>
        <v>721386.00000000058</v>
      </c>
      <c r="AN134" s="95">
        <f t="shared" si="96"/>
        <v>719415.00000000058</v>
      </c>
      <c r="AO134" s="95">
        <f t="shared" si="97"/>
        <v>719415.00000000058</v>
      </c>
      <c r="AP134" s="95">
        <f t="shared" si="98"/>
        <v>719415.00000000058</v>
      </c>
      <c r="AQ134" s="95">
        <f t="shared" si="99"/>
        <v>660285.00000000047</v>
      </c>
      <c r="AR134" s="95">
        <f t="shared" si="100"/>
        <v>0</v>
      </c>
      <c r="AS134" s="95">
        <f t="shared" si="101"/>
        <v>0</v>
      </c>
    </row>
    <row r="135" spans="1:45" x14ac:dyDescent="0.2">
      <c r="A135" s="118" t="s">
        <v>72</v>
      </c>
      <c r="B135" s="49" t="s">
        <v>106</v>
      </c>
      <c r="C135" s="56">
        <v>25700</v>
      </c>
      <c r="D135" s="75">
        <v>25000</v>
      </c>
      <c r="E135" s="57" t="s">
        <v>115</v>
      </c>
      <c r="F135" s="69">
        <f>0.1714-0.102</f>
        <v>6.9400000000000003E-2</v>
      </c>
      <c r="G135" s="69">
        <f>0.0186-0.0011</f>
        <v>1.7499999999999998E-2</v>
      </c>
      <c r="H135" s="72">
        <f t="shared" si="79"/>
        <v>8.6900000000000005E-2</v>
      </c>
      <c r="I135" s="63">
        <v>36525</v>
      </c>
      <c r="J135" s="64">
        <v>37621</v>
      </c>
      <c r="K135">
        <v>366</v>
      </c>
      <c r="L135">
        <v>365</v>
      </c>
      <c r="M135">
        <v>365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80"/>
        <v>9150000</v>
      </c>
      <c r="X135" s="30">
        <f t="shared" si="81"/>
        <v>9125000</v>
      </c>
      <c r="Y135" s="30">
        <f t="shared" si="82"/>
        <v>9125000</v>
      </c>
      <c r="Z135" s="30">
        <f t="shared" si="83"/>
        <v>0</v>
      </c>
      <c r="AA135" s="30">
        <f t="shared" si="84"/>
        <v>0</v>
      </c>
      <c r="AB135" s="30">
        <f t="shared" si="85"/>
        <v>0</v>
      </c>
      <c r="AC135" s="30">
        <f t="shared" si="86"/>
        <v>0</v>
      </c>
      <c r="AD135" s="30">
        <f t="shared" si="87"/>
        <v>0</v>
      </c>
      <c r="AE135" s="30">
        <f t="shared" si="88"/>
        <v>0</v>
      </c>
      <c r="AF135" s="30">
        <f t="shared" si="89"/>
        <v>0</v>
      </c>
      <c r="AG135" s="30">
        <f t="shared" si="90"/>
        <v>0</v>
      </c>
      <c r="AI135" s="95">
        <f t="shared" si="91"/>
        <v>795135</v>
      </c>
      <c r="AJ135" s="95">
        <f t="shared" si="92"/>
        <v>792962.5</v>
      </c>
      <c r="AK135" s="95">
        <f t="shared" si="93"/>
        <v>792962.5</v>
      </c>
      <c r="AL135" s="95">
        <f t="shared" si="94"/>
        <v>0</v>
      </c>
      <c r="AM135" s="95">
        <f t="shared" si="95"/>
        <v>0</v>
      </c>
      <c r="AN135" s="95">
        <f t="shared" si="96"/>
        <v>0</v>
      </c>
      <c r="AO135" s="95">
        <f t="shared" si="97"/>
        <v>0</v>
      </c>
      <c r="AP135" s="95">
        <f t="shared" si="98"/>
        <v>0</v>
      </c>
      <c r="AQ135" s="95">
        <f t="shared" si="99"/>
        <v>0</v>
      </c>
      <c r="AR135" s="95">
        <f t="shared" si="100"/>
        <v>0</v>
      </c>
      <c r="AS135" s="95">
        <f t="shared" si="101"/>
        <v>0</v>
      </c>
    </row>
    <row r="136" spans="1:45" x14ac:dyDescent="0.2">
      <c r="A136" s="118" t="s">
        <v>72</v>
      </c>
      <c r="B136" s="10" t="s">
        <v>59</v>
      </c>
      <c r="C136" s="56">
        <v>27458</v>
      </c>
      <c r="D136" s="75">
        <v>14000</v>
      </c>
      <c r="E136" s="56" t="s">
        <v>122</v>
      </c>
      <c r="F136" s="69">
        <f>1.28-0.102-0.0011-0.0153</f>
        <v>1.1615999999999997</v>
      </c>
      <c r="G136" s="69">
        <v>1.5299999999999999E-2</v>
      </c>
      <c r="H136" s="72">
        <f t="shared" si="79"/>
        <v>1.1768999999999998</v>
      </c>
      <c r="I136" s="63">
        <v>37621</v>
      </c>
      <c r="J136" s="64">
        <v>38717</v>
      </c>
      <c r="K136">
        <v>0</v>
      </c>
      <c r="L136">
        <v>0</v>
      </c>
      <c r="M136">
        <v>0</v>
      </c>
      <c r="N136">
        <v>365</v>
      </c>
      <c r="O136">
        <v>366</v>
      </c>
      <c r="P136">
        <v>365</v>
      </c>
      <c r="Q136">
        <v>0</v>
      </c>
      <c r="R136">
        <v>0</v>
      </c>
      <c r="S136">
        <v>0</v>
      </c>
      <c r="T136">
        <v>0</v>
      </c>
      <c r="U136">
        <v>0</v>
      </c>
      <c r="W136" s="30">
        <f t="shared" si="80"/>
        <v>0</v>
      </c>
      <c r="X136" s="30">
        <f t="shared" si="81"/>
        <v>0</v>
      </c>
      <c r="Y136" s="30">
        <f t="shared" si="82"/>
        <v>0</v>
      </c>
      <c r="Z136" s="30">
        <f t="shared" si="83"/>
        <v>5110000</v>
      </c>
      <c r="AA136" s="30">
        <f t="shared" si="84"/>
        <v>5124000</v>
      </c>
      <c r="AB136" s="30">
        <f t="shared" si="85"/>
        <v>5110000</v>
      </c>
      <c r="AC136" s="30">
        <f t="shared" si="86"/>
        <v>0</v>
      </c>
      <c r="AD136" s="30">
        <f t="shared" si="87"/>
        <v>0</v>
      </c>
      <c r="AE136" s="30">
        <f t="shared" si="88"/>
        <v>0</v>
      </c>
      <c r="AF136" s="30">
        <f t="shared" si="89"/>
        <v>0</v>
      </c>
      <c r="AG136" s="30">
        <f t="shared" si="90"/>
        <v>0</v>
      </c>
      <c r="AI136" s="95">
        <f t="shared" si="91"/>
        <v>0</v>
      </c>
      <c r="AJ136" s="95">
        <f t="shared" si="92"/>
        <v>0</v>
      </c>
      <c r="AK136" s="95">
        <f t="shared" si="93"/>
        <v>0</v>
      </c>
      <c r="AL136" s="95">
        <f t="shared" si="94"/>
        <v>6013958.9999999991</v>
      </c>
      <c r="AM136" s="95">
        <f t="shared" si="95"/>
        <v>6030435.5999999987</v>
      </c>
      <c r="AN136" s="95">
        <f t="shared" si="96"/>
        <v>6013958.9999999991</v>
      </c>
      <c r="AO136" s="95">
        <f t="shared" si="97"/>
        <v>0</v>
      </c>
      <c r="AP136" s="95">
        <f t="shared" si="98"/>
        <v>0</v>
      </c>
      <c r="AQ136" s="95">
        <f t="shared" si="99"/>
        <v>0</v>
      </c>
      <c r="AR136" s="95">
        <f t="shared" si="100"/>
        <v>0</v>
      </c>
      <c r="AS136" s="95">
        <f t="shared" si="101"/>
        <v>0</v>
      </c>
    </row>
    <row r="137" spans="1:45" x14ac:dyDescent="0.2">
      <c r="A137" s="120" t="s">
        <v>72</v>
      </c>
      <c r="B137" s="10" t="s">
        <v>35</v>
      </c>
      <c r="C137" s="56">
        <v>26520</v>
      </c>
      <c r="D137" s="75">
        <v>25000</v>
      </c>
      <c r="E137" s="56" t="s">
        <v>117</v>
      </c>
      <c r="F137" s="69">
        <v>0.20960000000000001</v>
      </c>
      <c r="G137" s="69">
        <v>2.5399999999999999E-2</v>
      </c>
      <c r="H137" s="72">
        <f t="shared" si="79"/>
        <v>0.23500000000000001</v>
      </c>
      <c r="I137" s="63">
        <v>33664</v>
      </c>
      <c r="J137" s="64">
        <v>39141</v>
      </c>
      <c r="K137">
        <v>366</v>
      </c>
      <c r="L137">
        <v>365</v>
      </c>
      <c r="M137">
        <v>365</v>
      </c>
      <c r="N137">
        <v>365</v>
      </c>
      <c r="O137">
        <v>366</v>
      </c>
      <c r="P137">
        <v>365</v>
      </c>
      <c r="Q137">
        <v>365</v>
      </c>
      <c r="R137">
        <v>59</v>
      </c>
      <c r="S137">
        <v>0</v>
      </c>
      <c r="T137">
        <v>0</v>
      </c>
      <c r="U137">
        <v>0</v>
      </c>
      <c r="W137" s="30">
        <f t="shared" si="80"/>
        <v>9150000</v>
      </c>
      <c r="X137" s="30">
        <f t="shared" si="81"/>
        <v>9125000</v>
      </c>
      <c r="Y137" s="30">
        <f t="shared" si="82"/>
        <v>9125000</v>
      </c>
      <c r="Z137" s="30">
        <f t="shared" si="83"/>
        <v>9125000</v>
      </c>
      <c r="AA137" s="30">
        <f t="shared" si="84"/>
        <v>9150000</v>
      </c>
      <c r="AB137" s="30">
        <f t="shared" si="85"/>
        <v>9125000</v>
      </c>
      <c r="AC137" s="30">
        <f t="shared" si="86"/>
        <v>9125000</v>
      </c>
      <c r="AD137" s="30">
        <f t="shared" si="87"/>
        <v>1475000</v>
      </c>
      <c r="AE137" s="30">
        <f t="shared" si="88"/>
        <v>0</v>
      </c>
      <c r="AF137" s="30">
        <f t="shared" si="89"/>
        <v>0</v>
      </c>
      <c r="AG137" s="30">
        <f t="shared" si="90"/>
        <v>0</v>
      </c>
      <c r="AI137" s="95">
        <f t="shared" si="91"/>
        <v>2150250</v>
      </c>
      <c r="AJ137" s="95">
        <f t="shared" si="92"/>
        <v>2144375</v>
      </c>
      <c r="AK137" s="95">
        <f t="shared" si="93"/>
        <v>2144375</v>
      </c>
      <c r="AL137" s="95">
        <f t="shared" si="94"/>
        <v>2144375</v>
      </c>
      <c r="AM137" s="95">
        <f t="shared" si="95"/>
        <v>2150250</v>
      </c>
      <c r="AN137" s="95">
        <f t="shared" si="96"/>
        <v>2144375</v>
      </c>
      <c r="AO137" s="95">
        <f t="shared" si="97"/>
        <v>2144375</v>
      </c>
      <c r="AP137" s="95">
        <f t="shared" si="98"/>
        <v>346625</v>
      </c>
      <c r="AQ137" s="95">
        <f t="shared" si="99"/>
        <v>0</v>
      </c>
      <c r="AR137" s="95">
        <f t="shared" si="100"/>
        <v>0</v>
      </c>
      <c r="AS137" s="95">
        <f t="shared" si="101"/>
        <v>0</v>
      </c>
    </row>
    <row r="138" spans="1:45" x14ac:dyDescent="0.2">
      <c r="A138" s="120" t="s">
        <v>72</v>
      </c>
      <c r="B138" s="10" t="s">
        <v>34</v>
      </c>
      <c r="C138" s="56">
        <v>20747</v>
      </c>
      <c r="D138" s="75">
        <v>10000</v>
      </c>
      <c r="E138" s="56" t="s">
        <v>117</v>
      </c>
      <c r="F138" s="69">
        <v>0.30620000000000003</v>
      </c>
      <c r="G138" s="69">
        <v>2.5399999999999999E-2</v>
      </c>
      <c r="H138" s="72">
        <f t="shared" si="79"/>
        <v>0.33160000000000001</v>
      </c>
      <c r="I138" s="63">
        <v>33664</v>
      </c>
      <c r="J138" s="64">
        <v>37315</v>
      </c>
      <c r="K138">
        <v>366</v>
      </c>
      <c r="L138">
        <v>365</v>
      </c>
      <c r="M138">
        <v>59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30">
        <f t="shared" si="80"/>
        <v>3660000</v>
      </c>
      <c r="X138" s="30">
        <f t="shared" si="81"/>
        <v>3650000</v>
      </c>
      <c r="Y138" s="30">
        <f t="shared" si="82"/>
        <v>590000</v>
      </c>
      <c r="Z138" s="30">
        <f t="shared" si="83"/>
        <v>0</v>
      </c>
      <c r="AA138" s="30">
        <f t="shared" si="84"/>
        <v>0</v>
      </c>
      <c r="AB138" s="30">
        <f t="shared" si="85"/>
        <v>0</v>
      </c>
      <c r="AC138" s="30">
        <f t="shared" si="86"/>
        <v>0</v>
      </c>
      <c r="AD138" s="30">
        <f t="shared" si="87"/>
        <v>0</v>
      </c>
      <c r="AE138" s="30">
        <f t="shared" si="88"/>
        <v>0</v>
      </c>
      <c r="AF138" s="30">
        <f t="shared" si="89"/>
        <v>0</v>
      </c>
      <c r="AG138" s="30">
        <f t="shared" si="90"/>
        <v>0</v>
      </c>
      <c r="AI138" s="95">
        <f t="shared" si="91"/>
        <v>1213656</v>
      </c>
      <c r="AJ138" s="95">
        <f t="shared" si="92"/>
        <v>1210340</v>
      </c>
      <c r="AK138" s="95">
        <f t="shared" si="93"/>
        <v>195644</v>
      </c>
      <c r="AL138" s="95">
        <f t="shared" si="94"/>
        <v>0</v>
      </c>
      <c r="AM138" s="95">
        <f t="shared" si="95"/>
        <v>0</v>
      </c>
      <c r="AN138" s="95">
        <f t="shared" si="96"/>
        <v>0</v>
      </c>
      <c r="AO138" s="95">
        <f t="shared" si="97"/>
        <v>0</v>
      </c>
      <c r="AP138" s="95">
        <f t="shared" si="98"/>
        <v>0</v>
      </c>
      <c r="AQ138" s="95">
        <f t="shared" si="99"/>
        <v>0</v>
      </c>
      <c r="AR138" s="95">
        <f t="shared" si="100"/>
        <v>0</v>
      </c>
      <c r="AS138" s="95">
        <f t="shared" si="101"/>
        <v>0</v>
      </c>
    </row>
    <row r="139" spans="1:45" x14ac:dyDescent="0.2">
      <c r="A139" s="120" t="s">
        <v>72</v>
      </c>
      <c r="B139" s="10" t="s">
        <v>34</v>
      </c>
      <c r="C139" s="56">
        <v>20748</v>
      </c>
      <c r="D139" s="75">
        <v>10000</v>
      </c>
      <c r="E139" s="56" t="s">
        <v>117</v>
      </c>
      <c r="F139" s="69">
        <v>0.30499999999999999</v>
      </c>
      <c r="G139" s="69">
        <v>2.5399999999999999E-2</v>
      </c>
      <c r="H139" s="72">
        <f t="shared" si="79"/>
        <v>0.33039999999999997</v>
      </c>
      <c r="I139" s="63">
        <v>33664</v>
      </c>
      <c r="J139" s="64">
        <v>37315</v>
      </c>
      <c r="K139">
        <v>366</v>
      </c>
      <c r="L139">
        <v>365</v>
      </c>
      <c r="M139">
        <v>59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30">
        <f t="shared" si="80"/>
        <v>3660000</v>
      </c>
      <c r="X139" s="30">
        <f t="shared" si="81"/>
        <v>3650000</v>
      </c>
      <c r="Y139" s="30">
        <f t="shared" si="82"/>
        <v>590000</v>
      </c>
      <c r="Z139" s="30">
        <f t="shared" si="83"/>
        <v>0</v>
      </c>
      <c r="AA139" s="30">
        <f t="shared" si="84"/>
        <v>0</v>
      </c>
      <c r="AB139" s="30">
        <f t="shared" si="85"/>
        <v>0</v>
      </c>
      <c r="AC139" s="30">
        <f t="shared" si="86"/>
        <v>0</v>
      </c>
      <c r="AD139" s="30">
        <f t="shared" si="87"/>
        <v>0</v>
      </c>
      <c r="AE139" s="30">
        <f t="shared" si="88"/>
        <v>0</v>
      </c>
      <c r="AF139" s="30">
        <f t="shared" si="89"/>
        <v>0</v>
      </c>
      <c r="AG139" s="30">
        <f t="shared" si="90"/>
        <v>0</v>
      </c>
      <c r="AI139" s="95">
        <f t="shared" si="91"/>
        <v>1209264</v>
      </c>
      <c r="AJ139" s="95">
        <f t="shared" si="92"/>
        <v>1205960</v>
      </c>
      <c r="AK139" s="95">
        <f t="shared" si="93"/>
        <v>194935.99999999997</v>
      </c>
      <c r="AL139" s="95">
        <f t="shared" si="94"/>
        <v>0</v>
      </c>
      <c r="AM139" s="95">
        <f t="shared" si="95"/>
        <v>0</v>
      </c>
      <c r="AN139" s="95">
        <f t="shared" si="96"/>
        <v>0</v>
      </c>
      <c r="AO139" s="95">
        <f t="shared" si="97"/>
        <v>0</v>
      </c>
      <c r="AP139" s="95">
        <f t="shared" si="98"/>
        <v>0</v>
      </c>
      <c r="AQ139" s="95">
        <f t="shared" si="99"/>
        <v>0</v>
      </c>
      <c r="AR139" s="95">
        <f t="shared" si="100"/>
        <v>0</v>
      </c>
      <c r="AS139" s="95">
        <f t="shared" si="101"/>
        <v>0</v>
      </c>
    </row>
    <row r="140" spans="1:45" x14ac:dyDescent="0.2">
      <c r="A140" s="118" t="s">
        <v>72</v>
      </c>
      <c r="B140" s="10" t="s">
        <v>34</v>
      </c>
      <c r="C140" s="56">
        <v>27566</v>
      </c>
      <c r="D140" s="75">
        <v>20000</v>
      </c>
      <c r="E140" s="56" t="s">
        <v>118</v>
      </c>
      <c r="F140" s="69">
        <v>0.26390000000000002</v>
      </c>
      <c r="G140" s="69">
        <v>1.5299999999999999E-2</v>
      </c>
      <c r="H140" s="72">
        <f t="shared" si="79"/>
        <v>0.2792</v>
      </c>
      <c r="I140" s="63">
        <v>37316</v>
      </c>
      <c r="J140" s="64">
        <v>39172</v>
      </c>
      <c r="K140">
        <v>0</v>
      </c>
      <c r="L140">
        <v>0</v>
      </c>
      <c r="M140">
        <v>306</v>
      </c>
      <c r="N140">
        <v>365</v>
      </c>
      <c r="O140">
        <v>366</v>
      </c>
      <c r="P140">
        <v>365</v>
      </c>
      <c r="Q140">
        <v>365</v>
      </c>
      <c r="R140">
        <v>90</v>
      </c>
      <c r="S140">
        <v>0</v>
      </c>
      <c r="T140">
        <v>0</v>
      </c>
      <c r="U140">
        <v>0</v>
      </c>
      <c r="W140" s="30">
        <f t="shared" si="80"/>
        <v>0</v>
      </c>
      <c r="X140" s="30">
        <f t="shared" si="81"/>
        <v>0</v>
      </c>
      <c r="Y140" s="30">
        <f t="shared" si="82"/>
        <v>6120000</v>
      </c>
      <c r="Z140" s="30">
        <f t="shared" si="83"/>
        <v>7300000</v>
      </c>
      <c r="AA140" s="30">
        <f t="shared" si="84"/>
        <v>7320000</v>
      </c>
      <c r="AB140" s="30">
        <f t="shared" si="85"/>
        <v>7300000</v>
      </c>
      <c r="AC140" s="30">
        <f t="shared" si="86"/>
        <v>7300000</v>
      </c>
      <c r="AD140" s="30">
        <f t="shared" si="87"/>
        <v>1800000</v>
      </c>
      <c r="AE140" s="30">
        <f t="shared" si="88"/>
        <v>0</v>
      </c>
      <c r="AF140" s="30">
        <f t="shared" si="89"/>
        <v>0</v>
      </c>
      <c r="AG140" s="30">
        <f t="shared" si="90"/>
        <v>0</v>
      </c>
      <c r="AI140" s="95">
        <f t="shared" si="91"/>
        <v>0</v>
      </c>
      <c r="AJ140" s="95">
        <f t="shared" si="92"/>
        <v>0</v>
      </c>
      <c r="AK140" s="95">
        <f t="shared" si="93"/>
        <v>1708704</v>
      </c>
      <c r="AL140" s="95">
        <f t="shared" si="94"/>
        <v>2038160</v>
      </c>
      <c r="AM140" s="95">
        <f t="shared" si="95"/>
        <v>2043744</v>
      </c>
      <c r="AN140" s="95">
        <f t="shared" si="96"/>
        <v>2038160</v>
      </c>
      <c r="AO140" s="95">
        <f t="shared" si="97"/>
        <v>2038160</v>
      </c>
      <c r="AP140" s="95">
        <f t="shared" si="98"/>
        <v>502560</v>
      </c>
      <c r="AQ140" s="95">
        <f t="shared" si="99"/>
        <v>0</v>
      </c>
      <c r="AR140" s="95">
        <f t="shared" si="100"/>
        <v>0</v>
      </c>
      <c r="AS140" s="95">
        <f t="shared" si="101"/>
        <v>0</v>
      </c>
    </row>
    <row r="141" spans="1:45" x14ac:dyDescent="0.2">
      <c r="A141" s="101" t="s">
        <v>72</v>
      </c>
      <c r="B141" s="10" t="s">
        <v>25</v>
      </c>
      <c r="C141" s="56">
        <v>25838</v>
      </c>
      <c r="D141" s="75">
        <v>10475</v>
      </c>
      <c r="E141" s="57" t="s">
        <v>115</v>
      </c>
      <c r="F141" s="69">
        <v>3.9600000000000003E-2</v>
      </c>
      <c r="G141" s="69">
        <v>2.5399999999999999E-2</v>
      </c>
      <c r="H141" s="72">
        <f t="shared" si="79"/>
        <v>6.5000000000000002E-2</v>
      </c>
      <c r="I141" s="63"/>
      <c r="J141" s="64">
        <v>36556</v>
      </c>
      <c r="K141">
        <v>31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30">
        <f t="shared" si="80"/>
        <v>324725</v>
      </c>
      <c r="X141" s="30">
        <f t="shared" si="81"/>
        <v>0</v>
      </c>
      <c r="Y141" s="30">
        <f t="shared" si="82"/>
        <v>0</v>
      </c>
      <c r="Z141" s="30">
        <f t="shared" si="83"/>
        <v>0</v>
      </c>
      <c r="AA141" s="30">
        <f t="shared" si="84"/>
        <v>0</v>
      </c>
      <c r="AB141" s="30">
        <f t="shared" si="85"/>
        <v>0</v>
      </c>
      <c r="AC141" s="30">
        <f t="shared" si="86"/>
        <v>0</v>
      </c>
      <c r="AD141" s="30">
        <f t="shared" si="87"/>
        <v>0</v>
      </c>
      <c r="AE141" s="30">
        <f t="shared" si="88"/>
        <v>0</v>
      </c>
      <c r="AF141" s="30">
        <f t="shared" si="89"/>
        <v>0</v>
      </c>
      <c r="AG141" s="30">
        <f t="shared" si="90"/>
        <v>0</v>
      </c>
      <c r="AI141" s="95">
        <f t="shared" si="91"/>
        <v>21107.125</v>
      </c>
      <c r="AJ141" s="95">
        <f t="shared" si="92"/>
        <v>0</v>
      </c>
      <c r="AK141" s="95">
        <f t="shared" si="93"/>
        <v>0</v>
      </c>
      <c r="AL141" s="95">
        <f t="shared" si="94"/>
        <v>0</v>
      </c>
      <c r="AM141" s="95">
        <f t="shared" si="95"/>
        <v>0</v>
      </c>
      <c r="AN141" s="95">
        <f t="shared" si="96"/>
        <v>0</v>
      </c>
      <c r="AO141" s="95">
        <f t="shared" si="97"/>
        <v>0</v>
      </c>
      <c r="AP141" s="95">
        <f t="shared" si="98"/>
        <v>0</v>
      </c>
      <c r="AQ141" s="95">
        <f t="shared" si="99"/>
        <v>0</v>
      </c>
      <c r="AR141" s="95">
        <f t="shared" si="100"/>
        <v>0</v>
      </c>
      <c r="AS141" s="95">
        <f t="shared" si="101"/>
        <v>0</v>
      </c>
    </row>
    <row r="142" spans="1:45" x14ac:dyDescent="0.2">
      <c r="A142" s="101" t="s">
        <v>72</v>
      </c>
      <c r="B142" s="10" t="s">
        <v>25</v>
      </c>
      <c r="C142" s="60">
        <v>26758</v>
      </c>
      <c r="D142" s="75">
        <v>40000</v>
      </c>
      <c r="E142" s="57" t="s">
        <v>115</v>
      </c>
      <c r="F142" s="69">
        <v>6.5799999999999997E-2</v>
      </c>
      <c r="G142" s="69">
        <v>2.5399999999999999E-2</v>
      </c>
      <c r="H142" s="72">
        <f t="shared" si="79"/>
        <v>9.1200000000000003E-2</v>
      </c>
      <c r="I142" s="63">
        <v>36647</v>
      </c>
      <c r="J142" s="64">
        <v>38472</v>
      </c>
      <c r="K142">
        <v>245</v>
      </c>
      <c r="L142">
        <v>365</v>
      </c>
      <c r="M142">
        <v>365</v>
      </c>
      <c r="N142">
        <v>365</v>
      </c>
      <c r="O142">
        <v>366</v>
      </c>
      <c r="P142">
        <v>120</v>
      </c>
      <c r="Q142">
        <v>0</v>
      </c>
      <c r="R142">
        <v>0</v>
      </c>
      <c r="S142">
        <v>0</v>
      </c>
      <c r="T142">
        <v>0</v>
      </c>
      <c r="U142">
        <v>0</v>
      </c>
      <c r="W142" s="30">
        <f t="shared" si="80"/>
        <v>9800000</v>
      </c>
      <c r="X142" s="30">
        <f t="shared" si="81"/>
        <v>14600000</v>
      </c>
      <c r="Y142" s="30">
        <f t="shared" si="82"/>
        <v>14600000</v>
      </c>
      <c r="Z142" s="30">
        <f t="shared" si="83"/>
        <v>14600000</v>
      </c>
      <c r="AA142" s="30">
        <f t="shared" si="84"/>
        <v>14640000</v>
      </c>
      <c r="AB142" s="30">
        <f t="shared" si="85"/>
        <v>4800000</v>
      </c>
      <c r="AC142" s="30">
        <f t="shared" si="86"/>
        <v>0</v>
      </c>
      <c r="AD142" s="30">
        <f t="shared" si="87"/>
        <v>0</v>
      </c>
      <c r="AE142" s="30">
        <f t="shared" si="88"/>
        <v>0</v>
      </c>
      <c r="AF142" s="30">
        <f t="shared" si="89"/>
        <v>0</v>
      </c>
      <c r="AG142" s="30">
        <f t="shared" si="90"/>
        <v>0</v>
      </c>
      <c r="AI142" s="95">
        <f t="shared" si="91"/>
        <v>893760</v>
      </c>
      <c r="AJ142" s="95">
        <f t="shared" si="92"/>
        <v>1331520</v>
      </c>
      <c r="AK142" s="95">
        <f t="shared" si="93"/>
        <v>1331520</v>
      </c>
      <c r="AL142" s="95">
        <f t="shared" si="94"/>
        <v>1331520</v>
      </c>
      <c r="AM142" s="95">
        <f t="shared" si="95"/>
        <v>1335168</v>
      </c>
      <c r="AN142" s="95">
        <f t="shared" si="96"/>
        <v>437760</v>
      </c>
      <c r="AO142" s="95">
        <f t="shared" si="97"/>
        <v>0</v>
      </c>
      <c r="AP142" s="95">
        <f t="shared" si="98"/>
        <v>0</v>
      </c>
      <c r="AQ142" s="95">
        <f t="shared" si="99"/>
        <v>0</v>
      </c>
      <c r="AR142" s="95">
        <f t="shared" si="100"/>
        <v>0</v>
      </c>
      <c r="AS142" s="95">
        <f t="shared" si="101"/>
        <v>0</v>
      </c>
    </row>
    <row r="143" spans="1:45" x14ac:dyDescent="0.2">
      <c r="A143" s="120" t="s">
        <v>72</v>
      </c>
      <c r="B143" s="10" t="s">
        <v>64</v>
      </c>
      <c r="C143" s="56">
        <v>26372</v>
      </c>
      <c r="D143" s="75">
        <v>25000</v>
      </c>
      <c r="E143" s="56" t="s">
        <v>117</v>
      </c>
      <c r="F143" s="69">
        <v>0.31369999999999998</v>
      </c>
      <c r="G143" s="69">
        <v>2.5399999999999999E-2</v>
      </c>
      <c r="H143" s="72">
        <f t="shared" si="79"/>
        <v>0.33909999999999996</v>
      </c>
      <c r="I143" s="63">
        <v>36525</v>
      </c>
      <c r="J143" s="64">
        <v>39172</v>
      </c>
      <c r="K143">
        <v>366</v>
      </c>
      <c r="L143">
        <v>365</v>
      </c>
      <c r="M143">
        <v>365</v>
      </c>
      <c r="N143">
        <v>365</v>
      </c>
      <c r="O143">
        <v>366</v>
      </c>
      <c r="P143">
        <v>365</v>
      </c>
      <c r="Q143">
        <v>365</v>
      </c>
      <c r="R143">
        <v>90</v>
      </c>
      <c r="S143">
        <v>0</v>
      </c>
      <c r="T143">
        <v>0</v>
      </c>
      <c r="U143">
        <v>0</v>
      </c>
      <c r="W143" s="30">
        <f t="shared" si="80"/>
        <v>9150000</v>
      </c>
      <c r="X143" s="30">
        <f t="shared" si="81"/>
        <v>9125000</v>
      </c>
      <c r="Y143" s="30">
        <f t="shared" si="82"/>
        <v>9125000</v>
      </c>
      <c r="Z143" s="30">
        <f t="shared" si="83"/>
        <v>9125000</v>
      </c>
      <c r="AA143" s="30">
        <f t="shared" si="84"/>
        <v>9150000</v>
      </c>
      <c r="AB143" s="30">
        <f t="shared" si="85"/>
        <v>9125000</v>
      </c>
      <c r="AC143" s="30">
        <f t="shared" si="86"/>
        <v>9125000</v>
      </c>
      <c r="AD143" s="30">
        <f t="shared" si="87"/>
        <v>2250000</v>
      </c>
      <c r="AE143" s="30">
        <f t="shared" si="88"/>
        <v>0</v>
      </c>
      <c r="AF143" s="30">
        <f t="shared" si="89"/>
        <v>0</v>
      </c>
      <c r="AG143" s="30">
        <f t="shared" si="90"/>
        <v>0</v>
      </c>
      <c r="AI143" s="95">
        <f t="shared" si="91"/>
        <v>3102764.9999999995</v>
      </c>
      <c r="AJ143" s="95">
        <f t="shared" si="92"/>
        <v>3094287.4999999995</v>
      </c>
      <c r="AK143" s="95">
        <f t="shared" si="93"/>
        <v>3094287.4999999995</v>
      </c>
      <c r="AL143" s="95">
        <f t="shared" si="94"/>
        <v>3094287.4999999995</v>
      </c>
      <c r="AM143" s="95">
        <f t="shared" si="95"/>
        <v>3102764.9999999995</v>
      </c>
      <c r="AN143" s="95">
        <f t="shared" si="96"/>
        <v>3094287.4999999995</v>
      </c>
      <c r="AO143" s="95">
        <f t="shared" si="97"/>
        <v>3094287.4999999995</v>
      </c>
      <c r="AP143" s="95">
        <f t="shared" si="98"/>
        <v>762974.99999999988</v>
      </c>
      <c r="AQ143" s="95">
        <f t="shared" si="99"/>
        <v>0</v>
      </c>
      <c r="AR143" s="95">
        <f t="shared" si="100"/>
        <v>0</v>
      </c>
      <c r="AS143" s="95">
        <f t="shared" si="101"/>
        <v>0</v>
      </c>
    </row>
    <row r="144" spans="1:45" x14ac:dyDescent="0.2">
      <c r="A144" s="118" t="s">
        <v>72</v>
      </c>
      <c r="B144" s="10" t="s">
        <v>56</v>
      </c>
      <c r="C144" s="56">
        <v>27453</v>
      </c>
      <c r="D144" s="75">
        <v>35000</v>
      </c>
      <c r="E144" s="56" t="s">
        <v>122</v>
      </c>
      <c r="F144" s="69">
        <f>1.18-0.102-0.0011-0.0153</f>
        <v>1.0615999999999997</v>
      </c>
      <c r="G144" s="69">
        <v>1.5299999999999999E-2</v>
      </c>
      <c r="H144" s="72">
        <f t="shared" si="79"/>
        <v>1.0768999999999997</v>
      </c>
      <c r="I144" s="63">
        <v>37621</v>
      </c>
      <c r="J144" s="64">
        <v>37986</v>
      </c>
      <c r="K144">
        <v>0</v>
      </c>
      <c r="L144">
        <v>0</v>
      </c>
      <c r="M144">
        <v>0</v>
      </c>
      <c r="N144">
        <v>365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30">
        <f t="shared" si="80"/>
        <v>0</v>
      </c>
      <c r="X144" s="30">
        <f t="shared" si="81"/>
        <v>0</v>
      </c>
      <c r="Y144" s="30">
        <f t="shared" si="82"/>
        <v>0</v>
      </c>
      <c r="Z144" s="30">
        <f t="shared" si="83"/>
        <v>12775000</v>
      </c>
      <c r="AA144" s="30">
        <f t="shared" si="84"/>
        <v>0</v>
      </c>
      <c r="AB144" s="30">
        <f t="shared" si="85"/>
        <v>0</v>
      </c>
      <c r="AC144" s="30">
        <f t="shared" si="86"/>
        <v>0</v>
      </c>
      <c r="AD144" s="30">
        <f t="shared" si="87"/>
        <v>0</v>
      </c>
      <c r="AE144" s="30">
        <f t="shared" si="88"/>
        <v>0</v>
      </c>
      <c r="AF144" s="30">
        <f t="shared" si="89"/>
        <v>0</v>
      </c>
      <c r="AG144" s="30">
        <f t="shared" si="90"/>
        <v>0</v>
      </c>
      <c r="AI144" s="95">
        <f t="shared" si="91"/>
        <v>0</v>
      </c>
      <c r="AJ144" s="95">
        <f t="shared" si="92"/>
        <v>0</v>
      </c>
      <c r="AK144" s="95">
        <f t="shared" si="93"/>
        <v>0</v>
      </c>
      <c r="AL144" s="95">
        <f t="shared" si="94"/>
        <v>13757397.499999996</v>
      </c>
      <c r="AM144" s="95">
        <f t="shared" si="95"/>
        <v>0</v>
      </c>
      <c r="AN144" s="95">
        <f t="shared" si="96"/>
        <v>0</v>
      </c>
      <c r="AO144" s="95">
        <f t="shared" si="97"/>
        <v>0</v>
      </c>
      <c r="AP144" s="95">
        <f t="shared" si="98"/>
        <v>0</v>
      </c>
      <c r="AQ144" s="95">
        <f t="shared" si="99"/>
        <v>0</v>
      </c>
      <c r="AR144" s="95">
        <f t="shared" si="100"/>
        <v>0</v>
      </c>
      <c r="AS144" s="95">
        <f t="shared" si="101"/>
        <v>0</v>
      </c>
    </row>
    <row r="145" spans="1:45" x14ac:dyDescent="0.2">
      <c r="A145" s="118" t="s">
        <v>72</v>
      </c>
      <c r="B145" s="10" t="s">
        <v>56</v>
      </c>
      <c r="C145" s="56">
        <v>27456</v>
      </c>
      <c r="D145" s="75">
        <v>21500</v>
      </c>
      <c r="E145" s="56" t="s">
        <v>122</v>
      </c>
      <c r="F145" s="69">
        <f>1-0.102-0.0011-0.0153</f>
        <v>0.88160000000000005</v>
      </c>
      <c r="G145" s="69">
        <v>1.5299999999999999E-2</v>
      </c>
      <c r="H145" s="72">
        <f t="shared" si="79"/>
        <v>0.89690000000000003</v>
      </c>
      <c r="I145" s="63">
        <v>37560</v>
      </c>
      <c r="J145" s="64">
        <v>37621</v>
      </c>
      <c r="K145">
        <v>0</v>
      </c>
      <c r="L145">
        <v>0</v>
      </c>
      <c r="M145">
        <v>61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30">
        <f t="shared" si="80"/>
        <v>0</v>
      </c>
      <c r="X145" s="30">
        <f t="shared" si="81"/>
        <v>0</v>
      </c>
      <c r="Y145" s="30">
        <f t="shared" si="82"/>
        <v>1311500</v>
      </c>
      <c r="Z145" s="30">
        <f t="shared" si="83"/>
        <v>0</v>
      </c>
      <c r="AA145" s="30">
        <f t="shared" si="84"/>
        <v>0</v>
      </c>
      <c r="AB145" s="30">
        <f t="shared" si="85"/>
        <v>0</v>
      </c>
      <c r="AC145" s="30">
        <f t="shared" si="86"/>
        <v>0</v>
      </c>
      <c r="AD145" s="30">
        <f t="shared" si="87"/>
        <v>0</v>
      </c>
      <c r="AE145" s="30">
        <f t="shared" si="88"/>
        <v>0</v>
      </c>
      <c r="AF145" s="30">
        <f t="shared" si="89"/>
        <v>0</v>
      </c>
      <c r="AG145" s="30">
        <f t="shared" si="90"/>
        <v>0</v>
      </c>
      <c r="AI145" s="95">
        <f t="shared" si="91"/>
        <v>0</v>
      </c>
      <c r="AJ145" s="95">
        <f t="shared" si="92"/>
        <v>0</v>
      </c>
      <c r="AK145" s="95">
        <f t="shared" si="93"/>
        <v>1176284.3500000001</v>
      </c>
      <c r="AL145" s="95">
        <f t="shared" si="94"/>
        <v>0</v>
      </c>
      <c r="AM145" s="95">
        <f t="shared" si="95"/>
        <v>0</v>
      </c>
      <c r="AN145" s="95">
        <f t="shared" si="96"/>
        <v>0</v>
      </c>
      <c r="AO145" s="95">
        <f t="shared" si="97"/>
        <v>0</v>
      </c>
      <c r="AP145" s="95">
        <f t="shared" si="98"/>
        <v>0</v>
      </c>
      <c r="AQ145" s="95">
        <f t="shared" si="99"/>
        <v>0</v>
      </c>
      <c r="AR145" s="95">
        <f t="shared" si="100"/>
        <v>0</v>
      </c>
      <c r="AS145" s="95">
        <f t="shared" si="101"/>
        <v>0</v>
      </c>
    </row>
    <row r="146" spans="1:45" x14ac:dyDescent="0.2">
      <c r="A146" s="118" t="s">
        <v>72</v>
      </c>
      <c r="B146" s="10" t="s">
        <v>56</v>
      </c>
      <c r="C146" s="56">
        <v>27457</v>
      </c>
      <c r="D146" s="75">
        <v>13500</v>
      </c>
      <c r="E146" s="56" t="s">
        <v>122</v>
      </c>
      <c r="F146" s="69">
        <f>1.11-0.102-0.0011-0.0153</f>
        <v>0.99159999999999993</v>
      </c>
      <c r="G146" s="69">
        <v>1.5299999999999999E-2</v>
      </c>
      <c r="H146" s="72">
        <f t="shared" si="79"/>
        <v>1.0068999999999999</v>
      </c>
      <c r="I146" s="63">
        <v>37225</v>
      </c>
      <c r="J146" s="64">
        <v>37256</v>
      </c>
      <c r="K146">
        <v>0</v>
      </c>
      <c r="L146">
        <v>31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W146" s="30">
        <f t="shared" si="80"/>
        <v>0</v>
      </c>
      <c r="X146" s="30">
        <f t="shared" si="81"/>
        <v>418500</v>
      </c>
      <c r="Y146" s="30">
        <f t="shared" si="82"/>
        <v>0</v>
      </c>
      <c r="Z146" s="30">
        <f t="shared" si="83"/>
        <v>0</v>
      </c>
      <c r="AA146" s="30">
        <f t="shared" si="84"/>
        <v>0</v>
      </c>
      <c r="AB146" s="30">
        <f t="shared" si="85"/>
        <v>0</v>
      </c>
      <c r="AC146" s="30">
        <f t="shared" si="86"/>
        <v>0</v>
      </c>
      <c r="AD146" s="30">
        <f t="shared" si="87"/>
        <v>0</v>
      </c>
      <c r="AE146" s="30">
        <f t="shared" si="88"/>
        <v>0</v>
      </c>
      <c r="AF146" s="30">
        <f t="shared" si="89"/>
        <v>0</v>
      </c>
      <c r="AG146" s="30">
        <f t="shared" si="90"/>
        <v>0</v>
      </c>
      <c r="AI146" s="95">
        <f t="shared" si="91"/>
        <v>0</v>
      </c>
      <c r="AJ146" s="95">
        <f t="shared" si="92"/>
        <v>421387.64999999997</v>
      </c>
      <c r="AK146" s="95">
        <f t="shared" si="93"/>
        <v>0</v>
      </c>
      <c r="AL146" s="95">
        <f t="shared" si="94"/>
        <v>0</v>
      </c>
      <c r="AM146" s="95">
        <f t="shared" si="95"/>
        <v>0</v>
      </c>
      <c r="AN146" s="95">
        <f t="shared" si="96"/>
        <v>0</v>
      </c>
      <c r="AO146" s="95">
        <f t="shared" si="97"/>
        <v>0</v>
      </c>
      <c r="AP146" s="95">
        <f t="shared" si="98"/>
        <v>0</v>
      </c>
      <c r="AQ146" s="95">
        <f t="shared" si="99"/>
        <v>0</v>
      </c>
      <c r="AR146" s="95">
        <f t="shared" si="100"/>
        <v>0</v>
      </c>
      <c r="AS146" s="95">
        <f t="shared" si="101"/>
        <v>0</v>
      </c>
    </row>
    <row r="147" spans="1:45" x14ac:dyDescent="0.2">
      <c r="A147" s="118" t="s">
        <v>72</v>
      </c>
      <c r="B147" s="10" t="s">
        <v>14</v>
      </c>
      <c r="C147" s="56">
        <v>26125</v>
      </c>
      <c r="D147" s="75">
        <v>8600</v>
      </c>
      <c r="E147" s="57" t="s">
        <v>115</v>
      </c>
      <c r="F147" s="69">
        <f>0.13-0.102-0.0011-0.0254</f>
        <v>1.5000000000000117E-3</v>
      </c>
      <c r="G147" s="69">
        <v>2.5399999999999999E-2</v>
      </c>
      <c r="H147" s="72">
        <f t="shared" si="79"/>
        <v>2.6900000000000011E-2</v>
      </c>
      <c r="I147" s="63">
        <v>35947</v>
      </c>
      <c r="J147" s="64">
        <v>37772</v>
      </c>
      <c r="K147">
        <v>366</v>
      </c>
      <c r="L147">
        <v>365</v>
      </c>
      <c r="M147">
        <v>365</v>
      </c>
      <c r="N147">
        <v>151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W147" s="30">
        <f t="shared" si="80"/>
        <v>3147600</v>
      </c>
      <c r="X147" s="30">
        <f t="shared" si="81"/>
        <v>3139000</v>
      </c>
      <c r="Y147" s="30">
        <f t="shared" si="82"/>
        <v>3139000</v>
      </c>
      <c r="Z147" s="30">
        <f t="shared" si="83"/>
        <v>1298600</v>
      </c>
      <c r="AA147" s="30">
        <f t="shared" si="84"/>
        <v>0</v>
      </c>
      <c r="AB147" s="30">
        <f t="shared" si="85"/>
        <v>0</v>
      </c>
      <c r="AC147" s="30">
        <f t="shared" si="86"/>
        <v>0</v>
      </c>
      <c r="AD147" s="30">
        <f t="shared" si="87"/>
        <v>0</v>
      </c>
      <c r="AE147" s="30">
        <f t="shared" si="88"/>
        <v>0</v>
      </c>
      <c r="AF147" s="30">
        <f t="shared" si="89"/>
        <v>0</v>
      </c>
      <c r="AG147" s="30">
        <f t="shared" si="90"/>
        <v>0</v>
      </c>
      <c r="AI147" s="95">
        <f t="shared" si="91"/>
        <v>84670.440000000031</v>
      </c>
      <c r="AJ147" s="95">
        <f t="shared" si="92"/>
        <v>84439.100000000035</v>
      </c>
      <c r="AK147" s="95">
        <f t="shared" si="93"/>
        <v>84439.100000000035</v>
      </c>
      <c r="AL147" s="95">
        <f t="shared" si="94"/>
        <v>34932.340000000011</v>
      </c>
      <c r="AM147" s="95">
        <f t="shared" si="95"/>
        <v>0</v>
      </c>
      <c r="AN147" s="95">
        <f t="shared" si="96"/>
        <v>0</v>
      </c>
      <c r="AO147" s="95">
        <f t="shared" si="97"/>
        <v>0</v>
      </c>
      <c r="AP147" s="95">
        <f t="shared" si="98"/>
        <v>0</v>
      </c>
      <c r="AQ147" s="95">
        <f t="shared" si="99"/>
        <v>0</v>
      </c>
      <c r="AR147" s="95">
        <f t="shared" si="100"/>
        <v>0</v>
      </c>
      <c r="AS147" s="95">
        <f t="shared" si="101"/>
        <v>0</v>
      </c>
    </row>
    <row r="148" spans="1:45" x14ac:dyDescent="0.2">
      <c r="A148" s="118" t="s">
        <v>72</v>
      </c>
      <c r="B148" s="10" t="s">
        <v>54</v>
      </c>
      <c r="C148" s="56">
        <v>26884</v>
      </c>
      <c r="D148" s="75">
        <v>40000</v>
      </c>
      <c r="E148" s="57" t="s">
        <v>115</v>
      </c>
      <c r="F148" s="69">
        <f>0.2025-0.102-0.0011-0.0254</f>
        <v>7.400000000000001E-2</v>
      </c>
      <c r="G148" s="69">
        <v>2.5399999999999999E-2</v>
      </c>
      <c r="H148" s="72">
        <f t="shared" si="79"/>
        <v>9.9400000000000016E-2</v>
      </c>
      <c r="I148" s="63">
        <v>36646</v>
      </c>
      <c r="J148" s="64">
        <v>38656</v>
      </c>
      <c r="K148">
        <v>245</v>
      </c>
      <c r="L148">
        <v>365</v>
      </c>
      <c r="M148">
        <v>365</v>
      </c>
      <c r="N148">
        <v>365</v>
      </c>
      <c r="O148">
        <v>366</v>
      </c>
      <c r="P148">
        <v>304</v>
      </c>
      <c r="Q148">
        <v>0</v>
      </c>
      <c r="R148">
        <v>0</v>
      </c>
      <c r="S148">
        <v>0</v>
      </c>
      <c r="T148">
        <v>0</v>
      </c>
      <c r="U148">
        <v>0</v>
      </c>
      <c r="W148" s="30">
        <f t="shared" si="80"/>
        <v>9800000</v>
      </c>
      <c r="X148" s="30">
        <f t="shared" si="81"/>
        <v>14600000</v>
      </c>
      <c r="Y148" s="30">
        <f t="shared" si="82"/>
        <v>14600000</v>
      </c>
      <c r="Z148" s="30">
        <f t="shared" si="83"/>
        <v>14600000</v>
      </c>
      <c r="AA148" s="30">
        <f t="shared" si="84"/>
        <v>14640000</v>
      </c>
      <c r="AB148" s="30">
        <f t="shared" si="85"/>
        <v>12160000</v>
      </c>
      <c r="AC148" s="30">
        <f t="shared" si="86"/>
        <v>0</v>
      </c>
      <c r="AD148" s="30">
        <f t="shared" si="87"/>
        <v>0</v>
      </c>
      <c r="AE148" s="30">
        <f t="shared" si="88"/>
        <v>0</v>
      </c>
      <c r="AF148" s="30">
        <f t="shared" si="89"/>
        <v>0</v>
      </c>
      <c r="AG148" s="30">
        <f t="shared" si="90"/>
        <v>0</v>
      </c>
      <c r="AI148" s="95">
        <f t="shared" si="91"/>
        <v>974120.00000000012</v>
      </c>
      <c r="AJ148" s="95">
        <f t="shared" si="92"/>
        <v>1451240.0000000002</v>
      </c>
      <c r="AK148" s="95">
        <f t="shared" si="93"/>
        <v>1451240.0000000002</v>
      </c>
      <c r="AL148" s="95">
        <f t="shared" si="94"/>
        <v>1451240.0000000002</v>
      </c>
      <c r="AM148" s="95">
        <f t="shared" si="95"/>
        <v>1455216.0000000002</v>
      </c>
      <c r="AN148" s="95">
        <f t="shared" si="96"/>
        <v>1208704.0000000002</v>
      </c>
      <c r="AO148" s="95">
        <f t="shared" si="97"/>
        <v>0</v>
      </c>
      <c r="AP148" s="95">
        <f t="shared" si="98"/>
        <v>0</v>
      </c>
      <c r="AQ148" s="95">
        <f t="shared" si="99"/>
        <v>0</v>
      </c>
      <c r="AR148" s="95">
        <f t="shared" si="100"/>
        <v>0</v>
      </c>
      <c r="AS148" s="95">
        <f t="shared" si="101"/>
        <v>0</v>
      </c>
    </row>
    <row r="149" spans="1:45" x14ac:dyDescent="0.2">
      <c r="A149" s="120" t="s">
        <v>72</v>
      </c>
      <c r="B149" s="10" t="s">
        <v>65</v>
      </c>
      <c r="C149" s="56">
        <v>26678</v>
      </c>
      <c r="D149" s="75">
        <v>25000</v>
      </c>
      <c r="E149" s="57" t="s">
        <v>115</v>
      </c>
      <c r="F149" s="69">
        <v>0.31240000000000001</v>
      </c>
      <c r="G149" s="69">
        <v>2.5399999999999999E-2</v>
      </c>
      <c r="H149" s="72">
        <f t="shared" si="79"/>
        <v>0.33779999999999999</v>
      </c>
      <c r="I149" s="63">
        <v>36525</v>
      </c>
      <c r="J149" s="64">
        <v>39172</v>
      </c>
      <c r="K149">
        <v>366</v>
      </c>
      <c r="L149">
        <v>365</v>
      </c>
      <c r="M149">
        <v>365</v>
      </c>
      <c r="N149">
        <v>365</v>
      </c>
      <c r="O149">
        <v>366</v>
      </c>
      <c r="P149">
        <v>365</v>
      </c>
      <c r="Q149">
        <v>90</v>
      </c>
      <c r="R149">
        <v>0</v>
      </c>
      <c r="S149">
        <v>0</v>
      </c>
      <c r="T149">
        <v>0</v>
      </c>
      <c r="U149">
        <v>0</v>
      </c>
      <c r="W149" s="30">
        <f t="shared" si="80"/>
        <v>9150000</v>
      </c>
      <c r="X149" s="30">
        <f t="shared" si="81"/>
        <v>9125000</v>
      </c>
      <c r="Y149" s="30">
        <f t="shared" si="82"/>
        <v>9125000</v>
      </c>
      <c r="Z149" s="30">
        <f t="shared" si="83"/>
        <v>9125000</v>
      </c>
      <c r="AA149" s="30">
        <f t="shared" si="84"/>
        <v>9150000</v>
      </c>
      <c r="AB149" s="30">
        <f t="shared" si="85"/>
        <v>9125000</v>
      </c>
      <c r="AC149" s="30">
        <f t="shared" si="86"/>
        <v>2250000</v>
      </c>
      <c r="AD149" s="30">
        <f t="shared" si="87"/>
        <v>0</v>
      </c>
      <c r="AE149" s="30">
        <f t="shared" si="88"/>
        <v>0</v>
      </c>
      <c r="AF149" s="30">
        <f t="shared" si="89"/>
        <v>0</v>
      </c>
      <c r="AG149" s="30">
        <f t="shared" si="90"/>
        <v>0</v>
      </c>
      <c r="AI149" s="95">
        <f t="shared" si="91"/>
        <v>3090870</v>
      </c>
      <c r="AJ149" s="95">
        <f t="shared" si="92"/>
        <v>3082425</v>
      </c>
      <c r="AK149" s="95">
        <f t="shared" si="93"/>
        <v>3082425</v>
      </c>
      <c r="AL149" s="95">
        <f t="shared" si="94"/>
        <v>3082425</v>
      </c>
      <c r="AM149" s="95">
        <f t="shared" si="95"/>
        <v>3090870</v>
      </c>
      <c r="AN149" s="95">
        <f t="shared" si="96"/>
        <v>3082425</v>
      </c>
      <c r="AO149" s="95">
        <f t="shared" si="97"/>
        <v>760050</v>
      </c>
      <c r="AP149" s="95">
        <f t="shared" si="98"/>
        <v>0</v>
      </c>
      <c r="AQ149" s="95">
        <f t="shared" si="99"/>
        <v>0</v>
      </c>
      <c r="AR149" s="95">
        <f t="shared" si="100"/>
        <v>0</v>
      </c>
      <c r="AS149" s="95">
        <f t="shared" si="101"/>
        <v>0</v>
      </c>
    </row>
    <row r="150" spans="1:45" x14ac:dyDescent="0.2">
      <c r="A150" s="101" t="s">
        <v>72</v>
      </c>
      <c r="B150" s="10" t="s">
        <v>27</v>
      </c>
      <c r="C150" s="56">
        <v>25847</v>
      </c>
      <c r="D150" s="75">
        <v>20000</v>
      </c>
      <c r="E150" s="57" t="s">
        <v>115</v>
      </c>
      <c r="F150" s="69">
        <f>0.126-0.0407-0.0093-0.0254</f>
        <v>5.0599999999999999E-2</v>
      </c>
      <c r="G150" s="69">
        <v>2.5399999999999999E-2</v>
      </c>
      <c r="H150" s="72">
        <f t="shared" si="79"/>
        <v>7.5999999999999998E-2</v>
      </c>
      <c r="I150" s="63"/>
      <c r="J150" s="64">
        <v>36556</v>
      </c>
      <c r="K150">
        <v>31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30">
        <f t="shared" si="80"/>
        <v>620000</v>
      </c>
      <c r="X150" s="30">
        <f t="shared" si="81"/>
        <v>0</v>
      </c>
      <c r="Y150" s="30">
        <f t="shared" si="82"/>
        <v>0</v>
      </c>
      <c r="Z150" s="30">
        <f t="shared" si="83"/>
        <v>0</v>
      </c>
      <c r="AA150" s="30">
        <f t="shared" si="84"/>
        <v>0</v>
      </c>
      <c r="AB150" s="30">
        <f t="shared" si="85"/>
        <v>0</v>
      </c>
      <c r="AC150" s="30">
        <f t="shared" si="86"/>
        <v>0</v>
      </c>
      <c r="AD150" s="30">
        <f t="shared" si="87"/>
        <v>0</v>
      </c>
      <c r="AE150" s="30">
        <f t="shared" si="88"/>
        <v>0</v>
      </c>
      <c r="AF150" s="30">
        <f t="shared" si="89"/>
        <v>0</v>
      </c>
      <c r="AG150" s="30">
        <f t="shared" si="90"/>
        <v>0</v>
      </c>
      <c r="AI150" s="95">
        <f t="shared" si="91"/>
        <v>47120</v>
      </c>
      <c r="AJ150" s="95">
        <f t="shared" si="92"/>
        <v>0</v>
      </c>
      <c r="AK150" s="95">
        <f t="shared" si="93"/>
        <v>0</v>
      </c>
      <c r="AL150" s="95">
        <f t="shared" si="94"/>
        <v>0</v>
      </c>
      <c r="AM150" s="95">
        <f t="shared" si="95"/>
        <v>0</v>
      </c>
      <c r="AN150" s="95">
        <f t="shared" si="96"/>
        <v>0</v>
      </c>
      <c r="AO150" s="95">
        <f t="shared" si="97"/>
        <v>0</v>
      </c>
      <c r="AP150" s="95">
        <f t="shared" si="98"/>
        <v>0</v>
      </c>
      <c r="AQ150" s="95">
        <f t="shared" si="99"/>
        <v>0</v>
      </c>
      <c r="AR150" s="95">
        <f t="shared" si="100"/>
        <v>0</v>
      </c>
      <c r="AS150" s="95">
        <f t="shared" si="101"/>
        <v>0</v>
      </c>
    </row>
    <row r="151" spans="1:45" x14ac:dyDescent="0.2">
      <c r="A151" s="101" t="s">
        <v>72</v>
      </c>
      <c r="B151" s="10" t="s">
        <v>107</v>
      </c>
      <c r="C151" s="56">
        <v>26635</v>
      </c>
      <c r="D151" s="75">
        <v>500</v>
      </c>
      <c r="E151" s="56" t="s">
        <v>118</v>
      </c>
      <c r="F151" s="69">
        <v>0.2555</v>
      </c>
      <c r="G151" s="69">
        <v>1.5299999999999999E-2</v>
      </c>
      <c r="H151" s="72">
        <f t="shared" si="79"/>
        <v>0.27079999999999999</v>
      </c>
      <c r="I151" s="63">
        <v>36192</v>
      </c>
      <c r="J151" s="64">
        <v>37256</v>
      </c>
      <c r="K151">
        <v>345</v>
      </c>
      <c r="L151">
        <v>365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30">
        <f t="shared" si="80"/>
        <v>172500</v>
      </c>
      <c r="X151" s="30">
        <f t="shared" si="81"/>
        <v>182500</v>
      </c>
      <c r="Y151" s="30">
        <f t="shared" si="82"/>
        <v>0</v>
      </c>
      <c r="Z151" s="30">
        <f t="shared" si="83"/>
        <v>0</v>
      </c>
      <c r="AA151" s="30">
        <f t="shared" si="84"/>
        <v>0</v>
      </c>
      <c r="AB151" s="30">
        <f t="shared" si="85"/>
        <v>0</v>
      </c>
      <c r="AC151" s="30">
        <f t="shared" si="86"/>
        <v>0</v>
      </c>
      <c r="AD151" s="30">
        <f t="shared" si="87"/>
        <v>0</v>
      </c>
      <c r="AE151" s="30">
        <f t="shared" si="88"/>
        <v>0</v>
      </c>
      <c r="AF151" s="30">
        <f t="shared" si="89"/>
        <v>0</v>
      </c>
      <c r="AG151" s="30">
        <f t="shared" si="90"/>
        <v>0</v>
      </c>
      <c r="AI151" s="95">
        <f t="shared" si="91"/>
        <v>46713</v>
      </c>
      <c r="AJ151" s="95">
        <f t="shared" si="92"/>
        <v>49421</v>
      </c>
      <c r="AK151" s="95">
        <f t="shared" si="93"/>
        <v>0</v>
      </c>
      <c r="AL151" s="95">
        <f t="shared" si="94"/>
        <v>0</v>
      </c>
      <c r="AM151" s="95">
        <f t="shared" si="95"/>
        <v>0</v>
      </c>
      <c r="AN151" s="95">
        <f t="shared" si="96"/>
        <v>0</v>
      </c>
      <c r="AO151" s="95">
        <f t="shared" si="97"/>
        <v>0</v>
      </c>
      <c r="AP151" s="95">
        <f t="shared" si="98"/>
        <v>0</v>
      </c>
      <c r="AQ151" s="95">
        <f t="shared" si="99"/>
        <v>0</v>
      </c>
      <c r="AR151" s="95">
        <f t="shared" si="100"/>
        <v>0</v>
      </c>
      <c r="AS151" s="95">
        <f t="shared" si="101"/>
        <v>0</v>
      </c>
    </row>
    <row r="152" spans="1:45" x14ac:dyDescent="0.2">
      <c r="A152" s="101" t="s">
        <v>72</v>
      </c>
      <c r="B152" s="10" t="s">
        <v>29</v>
      </c>
      <c r="C152" s="56">
        <v>26123</v>
      </c>
      <c r="D152" s="75">
        <v>2900</v>
      </c>
      <c r="E152" s="57" t="s">
        <v>115</v>
      </c>
      <c r="F152" s="69">
        <v>8.4699999999999998E-2</v>
      </c>
      <c r="G152" s="69">
        <v>1.5299999999999999E-2</v>
      </c>
      <c r="H152" s="72">
        <f t="shared" si="79"/>
        <v>9.9999999999999992E-2</v>
      </c>
      <c r="I152" s="63"/>
      <c r="J152" s="64">
        <v>36616</v>
      </c>
      <c r="K152">
        <v>91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30">
        <f t="shared" si="80"/>
        <v>263900</v>
      </c>
      <c r="X152" s="30">
        <f t="shared" si="81"/>
        <v>0</v>
      </c>
      <c r="Y152" s="30">
        <f t="shared" si="82"/>
        <v>0</v>
      </c>
      <c r="Z152" s="30">
        <f t="shared" si="83"/>
        <v>0</v>
      </c>
      <c r="AA152" s="30">
        <f t="shared" si="84"/>
        <v>0</v>
      </c>
      <c r="AB152" s="30">
        <f t="shared" si="85"/>
        <v>0</v>
      </c>
      <c r="AC152" s="30">
        <f t="shared" si="86"/>
        <v>0</v>
      </c>
      <c r="AD152" s="30">
        <f t="shared" si="87"/>
        <v>0</v>
      </c>
      <c r="AE152" s="30">
        <f t="shared" si="88"/>
        <v>0</v>
      </c>
      <c r="AF152" s="30">
        <f t="shared" si="89"/>
        <v>0</v>
      </c>
      <c r="AG152" s="30">
        <f t="shared" si="90"/>
        <v>0</v>
      </c>
      <c r="AI152" s="95">
        <f t="shared" si="91"/>
        <v>26389.999999999996</v>
      </c>
      <c r="AJ152" s="95">
        <f t="shared" si="92"/>
        <v>0</v>
      </c>
      <c r="AK152" s="95">
        <f t="shared" si="93"/>
        <v>0</v>
      </c>
      <c r="AL152" s="95">
        <f t="shared" si="94"/>
        <v>0</v>
      </c>
      <c r="AM152" s="95">
        <f t="shared" si="95"/>
        <v>0</v>
      </c>
      <c r="AN152" s="95">
        <f t="shared" si="96"/>
        <v>0</v>
      </c>
      <c r="AO152" s="95">
        <f t="shared" si="97"/>
        <v>0</v>
      </c>
      <c r="AP152" s="95">
        <f t="shared" si="98"/>
        <v>0</v>
      </c>
      <c r="AQ152" s="95">
        <f t="shared" si="99"/>
        <v>0</v>
      </c>
      <c r="AR152" s="95">
        <f t="shared" si="100"/>
        <v>0</v>
      </c>
      <c r="AS152" s="95">
        <f t="shared" si="101"/>
        <v>0</v>
      </c>
    </row>
    <row r="153" spans="1:45" x14ac:dyDescent="0.2">
      <c r="A153" s="118" t="s">
        <v>72</v>
      </c>
      <c r="B153" s="10" t="s">
        <v>29</v>
      </c>
      <c r="C153" s="56">
        <v>26813</v>
      </c>
      <c r="D153" s="75">
        <v>3500</v>
      </c>
      <c r="E153" s="57" t="s">
        <v>115</v>
      </c>
      <c r="F153" s="69">
        <f>0.1925-0.102-0.0011-0.0175</f>
        <v>7.1900000000000006E-2</v>
      </c>
      <c r="G153" s="69">
        <f>0.0186-0.0011</f>
        <v>1.7499999999999998E-2</v>
      </c>
      <c r="H153" s="72">
        <f t="shared" si="79"/>
        <v>8.9400000000000007E-2</v>
      </c>
      <c r="I153" s="63">
        <v>36646</v>
      </c>
      <c r="J153" s="64">
        <v>39506</v>
      </c>
      <c r="K153">
        <v>245</v>
      </c>
      <c r="L153">
        <v>365</v>
      </c>
      <c r="M153">
        <v>365</v>
      </c>
      <c r="N153">
        <v>365</v>
      </c>
      <c r="O153">
        <v>366</v>
      </c>
      <c r="P153">
        <v>365</v>
      </c>
      <c r="Q153">
        <v>365</v>
      </c>
      <c r="R153">
        <v>365</v>
      </c>
      <c r="S153">
        <v>59</v>
      </c>
      <c r="T153">
        <v>0</v>
      </c>
      <c r="U153">
        <v>0</v>
      </c>
      <c r="W153" s="30">
        <f t="shared" si="80"/>
        <v>857500</v>
      </c>
      <c r="X153" s="30">
        <f t="shared" si="81"/>
        <v>1277500</v>
      </c>
      <c r="Y153" s="30">
        <f t="shared" si="82"/>
        <v>1277500</v>
      </c>
      <c r="Z153" s="30">
        <f t="shared" si="83"/>
        <v>1277500</v>
      </c>
      <c r="AA153" s="30">
        <f t="shared" si="84"/>
        <v>1281000</v>
      </c>
      <c r="AB153" s="30">
        <f t="shared" si="85"/>
        <v>1277500</v>
      </c>
      <c r="AC153" s="30">
        <f t="shared" si="86"/>
        <v>1277500</v>
      </c>
      <c r="AD153" s="30">
        <f t="shared" si="87"/>
        <v>1277500</v>
      </c>
      <c r="AE153" s="30">
        <f t="shared" si="88"/>
        <v>206500</v>
      </c>
      <c r="AF153" s="30">
        <f t="shared" si="89"/>
        <v>0</v>
      </c>
      <c r="AG153" s="30">
        <f t="shared" si="90"/>
        <v>0</v>
      </c>
      <c r="AI153" s="95">
        <f t="shared" si="91"/>
        <v>76660.5</v>
      </c>
      <c r="AJ153" s="95">
        <f t="shared" si="92"/>
        <v>114208.50000000001</v>
      </c>
      <c r="AK153" s="95">
        <f t="shared" si="93"/>
        <v>114208.50000000001</v>
      </c>
      <c r="AL153" s="95">
        <f t="shared" si="94"/>
        <v>114208.50000000001</v>
      </c>
      <c r="AM153" s="95">
        <f t="shared" si="95"/>
        <v>114521.40000000001</v>
      </c>
      <c r="AN153" s="95">
        <f t="shared" si="96"/>
        <v>114208.50000000001</v>
      </c>
      <c r="AO153" s="95">
        <f t="shared" si="97"/>
        <v>114208.50000000001</v>
      </c>
      <c r="AP153" s="95">
        <f t="shared" si="98"/>
        <v>114208.50000000001</v>
      </c>
      <c r="AQ153" s="95">
        <f t="shared" si="99"/>
        <v>18461.100000000002</v>
      </c>
      <c r="AR153" s="95">
        <f t="shared" si="100"/>
        <v>0</v>
      </c>
      <c r="AS153" s="95">
        <f t="shared" si="101"/>
        <v>0</v>
      </c>
    </row>
    <row r="154" spans="1:45" x14ac:dyDescent="0.2">
      <c r="A154" s="120" t="s">
        <v>72</v>
      </c>
      <c r="B154" s="10" t="s">
        <v>29</v>
      </c>
      <c r="C154" s="56">
        <v>27583</v>
      </c>
      <c r="D154" s="75">
        <v>1300</v>
      </c>
      <c r="E154" s="56" t="s">
        <v>116</v>
      </c>
      <c r="F154" s="69">
        <v>0.22889999999999999</v>
      </c>
      <c r="G154" s="69">
        <v>1.5299999999999999E-2</v>
      </c>
      <c r="H154" s="72">
        <f t="shared" si="79"/>
        <v>0.2442</v>
      </c>
      <c r="I154" s="63">
        <v>37012</v>
      </c>
      <c r="J154" s="64">
        <v>37407</v>
      </c>
      <c r="K154">
        <v>0</v>
      </c>
      <c r="L154">
        <v>245</v>
      </c>
      <c r="M154">
        <v>151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30">
        <f t="shared" si="80"/>
        <v>0</v>
      </c>
      <c r="X154" s="30">
        <f t="shared" si="81"/>
        <v>318500</v>
      </c>
      <c r="Y154" s="30">
        <f t="shared" si="82"/>
        <v>196300</v>
      </c>
      <c r="Z154" s="30">
        <f t="shared" si="83"/>
        <v>0</v>
      </c>
      <c r="AA154" s="30">
        <f t="shared" si="84"/>
        <v>0</v>
      </c>
      <c r="AB154" s="30">
        <f t="shared" si="85"/>
        <v>0</v>
      </c>
      <c r="AC154" s="30">
        <f t="shared" si="86"/>
        <v>0</v>
      </c>
      <c r="AD154" s="30">
        <f t="shared" si="87"/>
        <v>0</v>
      </c>
      <c r="AE154" s="30">
        <f t="shared" si="88"/>
        <v>0</v>
      </c>
      <c r="AF154" s="30">
        <f t="shared" si="89"/>
        <v>0</v>
      </c>
      <c r="AG154" s="30">
        <f t="shared" si="90"/>
        <v>0</v>
      </c>
      <c r="AI154" s="95">
        <f t="shared" si="91"/>
        <v>0</v>
      </c>
      <c r="AJ154" s="95">
        <f t="shared" si="92"/>
        <v>77777.7</v>
      </c>
      <c r="AK154" s="95">
        <f t="shared" si="93"/>
        <v>47936.46</v>
      </c>
      <c r="AL154" s="95">
        <f t="shared" si="94"/>
        <v>0</v>
      </c>
      <c r="AM154" s="95">
        <f t="shared" si="95"/>
        <v>0</v>
      </c>
      <c r="AN154" s="95">
        <f t="shared" si="96"/>
        <v>0</v>
      </c>
      <c r="AO154" s="95">
        <f t="shared" si="97"/>
        <v>0</v>
      </c>
      <c r="AP154" s="95">
        <f t="shared" si="98"/>
        <v>0</v>
      </c>
      <c r="AQ154" s="95">
        <f t="shared" si="99"/>
        <v>0</v>
      </c>
      <c r="AR154" s="95">
        <f t="shared" si="100"/>
        <v>0</v>
      </c>
      <c r="AS154" s="95">
        <f t="shared" si="101"/>
        <v>0</v>
      </c>
    </row>
    <row r="155" spans="1:45" x14ac:dyDescent="0.2">
      <c r="A155" s="101" t="s">
        <v>72</v>
      </c>
      <c r="B155" s="10" t="s">
        <v>69</v>
      </c>
      <c r="C155" s="60">
        <v>27340</v>
      </c>
      <c r="D155" s="75">
        <v>20000</v>
      </c>
      <c r="E155" s="56" t="s">
        <v>118</v>
      </c>
      <c r="F155" s="69">
        <v>0.2455</v>
      </c>
      <c r="G155" s="69">
        <f>0.0316-0.0093</f>
        <v>2.2300000000000004E-2</v>
      </c>
      <c r="H155" s="72">
        <f t="shared" si="79"/>
        <v>0.26779999999999998</v>
      </c>
      <c r="I155" s="63">
        <v>36923</v>
      </c>
      <c r="J155" s="64">
        <v>37287</v>
      </c>
      <c r="K155">
        <v>0</v>
      </c>
      <c r="L155">
        <v>334</v>
      </c>
      <c r="M155">
        <v>31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30">
        <f t="shared" si="80"/>
        <v>0</v>
      </c>
      <c r="X155" s="30">
        <f t="shared" si="81"/>
        <v>6680000</v>
      </c>
      <c r="Y155" s="30">
        <f t="shared" si="82"/>
        <v>620000</v>
      </c>
      <c r="Z155" s="30">
        <f t="shared" si="83"/>
        <v>0</v>
      </c>
      <c r="AA155" s="30">
        <f t="shared" si="84"/>
        <v>0</v>
      </c>
      <c r="AB155" s="30">
        <f t="shared" si="85"/>
        <v>0</v>
      </c>
      <c r="AC155" s="30">
        <f t="shared" si="86"/>
        <v>0</v>
      </c>
      <c r="AD155" s="30">
        <f t="shared" si="87"/>
        <v>0</v>
      </c>
      <c r="AE155" s="30">
        <f t="shared" si="88"/>
        <v>0</v>
      </c>
      <c r="AF155" s="30">
        <f t="shared" si="89"/>
        <v>0</v>
      </c>
      <c r="AG155" s="30">
        <f t="shared" si="90"/>
        <v>0</v>
      </c>
      <c r="AI155" s="95">
        <f t="shared" si="91"/>
        <v>0</v>
      </c>
      <c r="AJ155" s="95">
        <f t="shared" si="92"/>
        <v>1788903.9999999998</v>
      </c>
      <c r="AK155" s="95">
        <f t="shared" si="93"/>
        <v>166036</v>
      </c>
      <c r="AL155" s="95">
        <f t="shared" si="94"/>
        <v>0</v>
      </c>
      <c r="AM155" s="95">
        <f t="shared" si="95"/>
        <v>0</v>
      </c>
      <c r="AN155" s="95">
        <f t="shared" si="96"/>
        <v>0</v>
      </c>
      <c r="AO155" s="95">
        <f t="shared" si="97"/>
        <v>0</v>
      </c>
      <c r="AP155" s="95">
        <f t="shared" si="98"/>
        <v>0</v>
      </c>
      <c r="AQ155" s="95">
        <f t="shared" si="99"/>
        <v>0</v>
      </c>
      <c r="AR155" s="95">
        <f t="shared" si="100"/>
        <v>0</v>
      </c>
      <c r="AS155" s="95">
        <f t="shared" si="101"/>
        <v>0</v>
      </c>
    </row>
    <row r="156" spans="1:45" x14ac:dyDescent="0.2">
      <c r="A156" s="120" t="s">
        <v>72</v>
      </c>
      <c r="B156" s="10" t="s">
        <v>36</v>
      </c>
      <c r="C156" s="56">
        <v>21165</v>
      </c>
      <c r="D156" s="75">
        <v>150000</v>
      </c>
      <c r="E156" s="56" t="s">
        <v>117</v>
      </c>
      <c r="F156" s="69">
        <v>0.31380000000000002</v>
      </c>
      <c r="G156" s="69">
        <v>2.5399999999999999E-2</v>
      </c>
      <c r="H156" s="72">
        <f t="shared" si="79"/>
        <v>0.3392</v>
      </c>
      <c r="I156" s="66">
        <v>33679</v>
      </c>
      <c r="J156" s="64">
        <v>39172</v>
      </c>
      <c r="K156">
        <v>366</v>
      </c>
      <c r="L156">
        <v>365</v>
      </c>
      <c r="M156">
        <v>365</v>
      </c>
      <c r="N156">
        <v>365</v>
      </c>
      <c r="O156">
        <v>366</v>
      </c>
      <c r="P156">
        <v>365</v>
      </c>
      <c r="Q156">
        <v>365</v>
      </c>
      <c r="R156">
        <v>90</v>
      </c>
      <c r="S156">
        <v>0</v>
      </c>
      <c r="T156">
        <v>0</v>
      </c>
      <c r="U156">
        <v>0</v>
      </c>
      <c r="W156" s="30">
        <f t="shared" si="80"/>
        <v>54900000</v>
      </c>
      <c r="X156" s="30">
        <f t="shared" si="81"/>
        <v>54750000</v>
      </c>
      <c r="Y156" s="30">
        <f t="shared" si="82"/>
        <v>54750000</v>
      </c>
      <c r="Z156" s="30">
        <f t="shared" si="83"/>
        <v>54750000</v>
      </c>
      <c r="AA156" s="30">
        <f t="shared" si="84"/>
        <v>54900000</v>
      </c>
      <c r="AB156" s="30">
        <f t="shared" si="85"/>
        <v>54750000</v>
      </c>
      <c r="AC156" s="30">
        <f t="shared" si="86"/>
        <v>54750000</v>
      </c>
      <c r="AD156" s="30">
        <f t="shared" si="87"/>
        <v>13500000</v>
      </c>
      <c r="AE156" s="30">
        <f t="shared" si="88"/>
        <v>0</v>
      </c>
      <c r="AF156" s="30">
        <f t="shared" si="89"/>
        <v>0</v>
      </c>
      <c r="AG156" s="30">
        <f t="shared" si="90"/>
        <v>0</v>
      </c>
      <c r="AI156" s="95">
        <f t="shared" si="91"/>
        <v>18622080</v>
      </c>
      <c r="AJ156" s="95">
        <f t="shared" si="92"/>
        <v>18571200</v>
      </c>
      <c r="AK156" s="95">
        <f t="shared" si="93"/>
        <v>18571200</v>
      </c>
      <c r="AL156" s="95">
        <f t="shared" si="94"/>
        <v>18571200</v>
      </c>
      <c r="AM156" s="95">
        <f t="shared" si="95"/>
        <v>18622080</v>
      </c>
      <c r="AN156" s="95">
        <f t="shared" si="96"/>
        <v>18571200</v>
      </c>
      <c r="AO156" s="95">
        <f t="shared" si="97"/>
        <v>18571200</v>
      </c>
      <c r="AP156" s="95">
        <f t="shared" si="98"/>
        <v>4579200</v>
      </c>
      <c r="AQ156" s="95">
        <f t="shared" si="99"/>
        <v>0</v>
      </c>
      <c r="AR156" s="95">
        <f t="shared" si="100"/>
        <v>0</v>
      </c>
      <c r="AS156" s="95">
        <f t="shared" si="101"/>
        <v>0</v>
      </c>
    </row>
    <row r="157" spans="1:45" x14ac:dyDescent="0.2">
      <c r="A157" s="118" t="s">
        <v>72</v>
      </c>
      <c r="B157" s="10" t="s">
        <v>75</v>
      </c>
      <c r="C157" s="56">
        <v>21162</v>
      </c>
      <c r="D157" s="75">
        <v>0</v>
      </c>
      <c r="H157" s="72">
        <f t="shared" si="79"/>
        <v>0</v>
      </c>
      <c r="I157" s="63"/>
      <c r="J157" s="64">
        <v>39156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30">
        <f t="shared" si="80"/>
        <v>0</v>
      </c>
      <c r="X157" s="30">
        <f t="shared" si="81"/>
        <v>0</v>
      </c>
      <c r="Y157" s="30">
        <f t="shared" si="82"/>
        <v>0</v>
      </c>
      <c r="Z157" s="30">
        <f t="shared" si="83"/>
        <v>0</v>
      </c>
      <c r="AA157" s="30">
        <f t="shared" si="84"/>
        <v>0</v>
      </c>
      <c r="AB157" s="30">
        <f t="shared" si="85"/>
        <v>0</v>
      </c>
      <c r="AC157" s="30">
        <f t="shared" si="86"/>
        <v>0</v>
      </c>
      <c r="AD157" s="30">
        <f t="shared" si="87"/>
        <v>0</v>
      </c>
      <c r="AE157" s="30">
        <f t="shared" si="88"/>
        <v>0</v>
      </c>
      <c r="AF157" s="30">
        <f t="shared" si="89"/>
        <v>0</v>
      </c>
      <c r="AG157" s="30">
        <f t="shared" si="90"/>
        <v>0</v>
      </c>
      <c r="AI157" s="95">
        <f t="shared" si="91"/>
        <v>0</v>
      </c>
      <c r="AJ157" s="95">
        <f t="shared" si="92"/>
        <v>0</v>
      </c>
      <c r="AK157" s="95">
        <f t="shared" si="93"/>
        <v>0</v>
      </c>
      <c r="AL157" s="95">
        <f t="shared" si="94"/>
        <v>0</v>
      </c>
      <c r="AM157" s="95">
        <f t="shared" si="95"/>
        <v>0</v>
      </c>
      <c r="AN157" s="95">
        <f t="shared" si="96"/>
        <v>0</v>
      </c>
      <c r="AO157" s="95">
        <f t="shared" si="97"/>
        <v>0</v>
      </c>
      <c r="AP157" s="95">
        <f t="shared" si="98"/>
        <v>0</v>
      </c>
      <c r="AQ157" s="95">
        <f t="shared" si="99"/>
        <v>0</v>
      </c>
      <c r="AR157" s="95">
        <f t="shared" si="100"/>
        <v>0</v>
      </c>
      <c r="AS157" s="95">
        <f t="shared" si="101"/>
        <v>0</v>
      </c>
    </row>
    <row r="158" spans="1:45" x14ac:dyDescent="0.2">
      <c r="A158" s="101" t="s">
        <v>72</v>
      </c>
      <c r="B158" s="10" t="s">
        <v>26</v>
      </c>
      <c r="C158" s="60">
        <v>25841</v>
      </c>
      <c r="D158" s="75">
        <v>40000</v>
      </c>
      <c r="E158" s="56" t="s">
        <v>115</v>
      </c>
      <c r="F158" s="69">
        <f>0.1075-0.0407-0.0093-0.0153</f>
        <v>4.2199999999999994E-2</v>
      </c>
      <c r="G158" s="69">
        <f>0.0246-0.0093</f>
        <v>1.5300000000000001E-2</v>
      </c>
      <c r="H158" s="72">
        <f t="shared" si="79"/>
        <v>5.7499999999999996E-2</v>
      </c>
      <c r="I158" s="63">
        <v>35827</v>
      </c>
      <c r="J158" s="64">
        <v>37560</v>
      </c>
      <c r="K158">
        <v>366</v>
      </c>
      <c r="L158">
        <v>365</v>
      </c>
      <c r="M158">
        <v>304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30">
        <f t="shared" si="80"/>
        <v>14640000</v>
      </c>
      <c r="X158" s="30">
        <f t="shared" si="81"/>
        <v>14600000</v>
      </c>
      <c r="Y158" s="30">
        <f t="shared" si="82"/>
        <v>12160000</v>
      </c>
      <c r="Z158" s="30">
        <f t="shared" si="83"/>
        <v>0</v>
      </c>
      <c r="AA158" s="30">
        <f t="shared" si="84"/>
        <v>0</v>
      </c>
      <c r="AB158" s="30">
        <f t="shared" si="85"/>
        <v>0</v>
      </c>
      <c r="AC158" s="30">
        <f t="shared" si="86"/>
        <v>0</v>
      </c>
      <c r="AD158" s="30">
        <f t="shared" si="87"/>
        <v>0</v>
      </c>
      <c r="AE158" s="30">
        <f t="shared" si="88"/>
        <v>0</v>
      </c>
      <c r="AF158" s="30">
        <f t="shared" si="89"/>
        <v>0</v>
      </c>
      <c r="AG158" s="30">
        <f t="shared" si="90"/>
        <v>0</v>
      </c>
      <c r="AI158" s="95">
        <f t="shared" si="91"/>
        <v>841799.99999999988</v>
      </c>
      <c r="AJ158" s="95">
        <f t="shared" si="92"/>
        <v>839499.99999999988</v>
      </c>
      <c r="AK158" s="95">
        <f t="shared" si="93"/>
        <v>699200</v>
      </c>
      <c r="AL158" s="95">
        <f t="shared" si="94"/>
        <v>0</v>
      </c>
      <c r="AM158" s="95">
        <f t="shared" si="95"/>
        <v>0</v>
      </c>
      <c r="AN158" s="95">
        <f t="shared" si="96"/>
        <v>0</v>
      </c>
      <c r="AO158" s="95">
        <f t="shared" si="97"/>
        <v>0</v>
      </c>
      <c r="AP158" s="95">
        <f t="shared" si="98"/>
        <v>0</v>
      </c>
      <c r="AQ158" s="95">
        <f t="shared" si="99"/>
        <v>0</v>
      </c>
      <c r="AR158" s="95">
        <f t="shared" si="100"/>
        <v>0</v>
      </c>
      <c r="AS158" s="95">
        <f t="shared" si="101"/>
        <v>0</v>
      </c>
    </row>
    <row r="159" spans="1:45" x14ac:dyDescent="0.2">
      <c r="A159" s="101" t="s">
        <v>72</v>
      </c>
      <c r="B159" s="10" t="s">
        <v>26</v>
      </c>
      <c r="C159" s="60">
        <v>26511</v>
      </c>
      <c r="D159" s="75">
        <v>21000</v>
      </c>
      <c r="E159" s="56" t="s">
        <v>115</v>
      </c>
      <c r="F159" s="69">
        <f>0.1075-0.0407-0.0093-0.0153</f>
        <v>4.2199999999999994E-2</v>
      </c>
      <c r="G159" s="69">
        <f>0.0246-0.0093</f>
        <v>1.5300000000000001E-2</v>
      </c>
      <c r="H159" s="72">
        <f t="shared" si="79"/>
        <v>5.7499999999999996E-2</v>
      </c>
      <c r="I159" s="63">
        <v>36100</v>
      </c>
      <c r="J159" s="64">
        <v>37560</v>
      </c>
      <c r="K159">
        <v>366</v>
      </c>
      <c r="L159">
        <v>365</v>
      </c>
      <c r="M159">
        <v>304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30">
        <f t="shared" si="80"/>
        <v>7686000</v>
      </c>
      <c r="X159" s="30">
        <f t="shared" si="81"/>
        <v>7665000</v>
      </c>
      <c r="Y159" s="30">
        <f t="shared" si="82"/>
        <v>6384000</v>
      </c>
      <c r="Z159" s="30">
        <f t="shared" si="83"/>
        <v>0</v>
      </c>
      <c r="AA159" s="30">
        <f t="shared" si="84"/>
        <v>0</v>
      </c>
      <c r="AB159" s="30">
        <f t="shared" si="85"/>
        <v>0</v>
      </c>
      <c r="AC159" s="30">
        <f t="shared" si="86"/>
        <v>0</v>
      </c>
      <c r="AD159" s="30">
        <f t="shared" si="87"/>
        <v>0</v>
      </c>
      <c r="AE159" s="30">
        <f t="shared" si="88"/>
        <v>0</v>
      </c>
      <c r="AF159" s="30">
        <f t="shared" si="89"/>
        <v>0</v>
      </c>
      <c r="AG159" s="30">
        <f t="shared" si="90"/>
        <v>0</v>
      </c>
      <c r="AI159" s="95">
        <f t="shared" si="91"/>
        <v>441944.99999999994</v>
      </c>
      <c r="AJ159" s="95">
        <f t="shared" si="92"/>
        <v>440737.49999999994</v>
      </c>
      <c r="AK159" s="95">
        <f t="shared" si="93"/>
        <v>367080</v>
      </c>
      <c r="AL159" s="95">
        <f t="shared" si="94"/>
        <v>0</v>
      </c>
      <c r="AM159" s="95">
        <f t="shared" si="95"/>
        <v>0</v>
      </c>
      <c r="AN159" s="95">
        <f t="shared" si="96"/>
        <v>0</v>
      </c>
      <c r="AO159" s="95">
        <f t="shared" si="97"/>
        <v>0</v>
      </c>
      <c r="AP159" s="95">
        <f t="shared" si="98"/>
        <v>0</v>
      </c>
      <c r="AQ159" s="95">
        <f t="shared" si="99"/>
        <v>0</v>
      </c>
      <c r="AR159" s="95">
        <f t="shared" si="100"/>
        <v>0</v>
      </c>
      <c r="AS159" s="95">
        <f t="shared" si="101"/>
        <v>0</v>
      </c>
    </row>
    <row r="160" spans="1:45" x14ac:dyDescent="0.2">
      <c r="A160" s="101" t="s">
        <v>72</v>
      </c>
      <c r="B160" s="10" t="s">
        <v>67</v>
      </c>
      <c r="C160" s="60">
        <v>26819</v>
      </c>
      <c r="D160" s="75">
        <v>10000</v>
      </c>
      <c r="E160" s="58" t="s">
        <v>115</v>
      </c>
      <c r="F160" s="69">
        <f>0.12-0.0407-0.0093-0.0153</f>
        <v>5.4699999999999992E-2</v>
      </c>
      <c r="G160" s="69">
        <v>1.5299999999999999E-2</v>
      </c>
      <c r="H160" s="72">
        <f t="shared" si="79"/>
        <v>6.9999999999999993E-2</v>
      </c>
      <c r="I160" s="63">
        <v>36647</v>
      </c>
      <c r="J160" s="64">
        <v>38472</v>
      </c>
      <c r="K160">
        <v>245</v>
      </c>
      <c r="L160">
        <v>365</v>
      </c>
      <c r="M160">
        <v>365</v>
      </c>
      <c r="N160">
        <v>365</v>
      </c>
      <c r="O160">
        <v>366</v>
      </c>
      <c r="P160">
        <v>120</v>
      </c>
      <c r="Q160">
        <v>0</v>
      </c>
      <c r="R160">
        <v>0</v>
      </c>
      <c r="S160">
        <v>0</v>
      </c>
      <c r="T160">
        <v>0</v>
      </c>
      <c r="U160">
        <v>0</v>
      </c>
      <c r="W160" s="30">
        <f t="shared" si="80"/>
        <v>2450000</v>
      </c>
      <c r="X160" s="30">
        <f t="shared" si="81"/>
        <v>3650000</v>
      </c>
      <c r="Y160" s="30">
        <f t="shared" si="82"/>
        <v>3650000</v>
      </c>
      <c r="Z160" s="30">
        <f t="shared" si="83"/>
        <v>3650000</v>
      </c>
      <c r="AA160" s="30">
        <f t="shared" si="84"/>
        <v>3660000</v>
      </c>
      <c r="AB160" s="30">
        <f t="shared" si="85"/>
        <v>1200000</v>
      </c>
      <c r="AC160" s="30">
        <f t="shared" si="86"/>
        <v>0</v>
      </c>
      <c r="AD160" s="30">
        <f t="shared" si="87"/>
        <v>0</v>
      </c>
      <c r="AE160" s="30">
        <f t="shared" si="88"/>
        <v>0</v>
      </c>
      <c r="AF160" s="30">
        <f t="shared" si="89"/>
        <v>0</v>
      </c>
      <c r="AG160" s="30">
        <f t="shared" si="90"/>
        <v>0</v>
      </c>
      <c r="AI160" s="95">
        <f t="shared" si="91"/>
        <v>171499.99999999997</v>
      </c>
      <c r="AJ160" s="95">
        <f t="shared" si="92"/>
        <v>255499.99999999997</v>
      </c>
      <c r="AK160" s="95">
        <f t="shared" si="93"/>
        <v>255499.99999999997</v>
      </c>
      <c r="AL160" s="95">
        <f t="shared" si="94"/>
        <v>255499.99999999997</v>
      </c>
      <c r="AM160" s="95">
        <f t="shared" si="95"/>
        <v>256199.99999999997</v>
      </c>
      <c r="AN160" s="95">
        <f t="shared" si="96"/>
        <v>83999.999999999985</v>
      </c>
      <c r="AO160" s="95">
        <f t="shared" si="97"/>
        <v>0</v>
      </c>
      <c r="AP160" s="95">
        <f t="shared" si="98"/>
        <v>0</v>
      </c>
      <c r="AQ160" s="95">
        <f t="shared" si="99"/>
        <v>0</v>
      </c>
      <c r="AR160" s="95">
        <f t="shared" si="100"/>
        <v>0</v>
      </c>
      <c r="AS160" s="95">
        <f t="shared" si="101"/>
        <v>0</v>
      </c>
    </row>
    <row r="161" spans="1:45" x14ac:dyDescent="0.2">
      <c r="A161" s="118" t="s">
        <v>72</v>
      </c>
      <c r="B161" s="10" t="s">
        <v>58</v>
      </c>
      <c r="C161" s="56">
        <v>27454</v>
      </c>
      <c r="D161" s="75">
        <v>27500</v>
      </c>
      <c r="E161" s="56" t="s">
        <v>122</v>
      </c>
      <c r="F161" s="69">
        <f>1.32-0.102-0.0011-0.0153</f>
        <v>1.2015999999999998</v>
      </c>
      <c r="G161" s="69">
        <v>1.5299999999999999E-2</v>
      </c>
      <c r="H161" s="72">
        <f t="shared" si="79"/>
        <v>1.2168999999999999</v>
      </c>
      <c r="I161" s="63">
        <v>37256</v>
      </c>
      <c r="J161" s="64">
        <v>37621</v>
      </c>
      <c r="K161">
        <v>0</v>
      </c>
      <c r="L161">
        <v>0</v>
      </c>
      <c r="M161">
        <v>365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30">
        <f t="shared" si="80"/>
        <v>0</v>
      </c>
      <c r="X161" s="30">
        <f t="shared" si="81"/>
        <v>0</v>
      </c>
      <c r="Y161" s="30">
        <f t="shared" si="82"/>
        <v>10037500</v>
      </c>
      <c r="Z161" s="30">
        <f t="shared" si="83"/>
        <v>0</v>
      </c>
      <c r="AA161" s="30">
        <f t="shared" si="84"/>
        <v>0</v>
      </c>
      <c r="AB161" s="30">
        <f t="shared" si="85"/>
        <v>0</v>
      </c>
      <c r="AC161" s="30">
        <f t="shared" si="86"/>
        <v>0</v>
      </c>
      <c r="AD161" s="30">
        <f t="shared" si="87"/>
        <v>0</v>
      </c>
      <c r="AE161" s="30">
        <f t="shared" si="88"/>
        <v>0</v>
      </c>
      <c r="AF161" s="30">
        <f t="shared" si="89"/>
        <v>0</v>
      </c>
      <c r="AG161" s="30">
        <f t="shared" si="90"/>
        <v>0</v>
      </c>
      <c r="AI161" s="95">
        <f t="shared" si="91"/>
        <v>0</v>
      </c>
      <c r="AJ161" s="95">
        <f t="shared" si="92"/>
        <v>0</v>
      </c>
      <c r="AK161" s="95">
        <f t="shared" si="93"/>
        <v>12214633.749999998</v>
      </c>
      <c r="AL161" s="95">
        <f t="shared" si="94"/>
        <v>0</v>
      </c>
      <c r="AM161" s="95">
        <f t="shared" si="95"/>
        <v>0</v>
      </c>
      <c r="AN161" s="95">
        <f t="shared" si="96"/>
        <v>0</v>
      </c>
      <c r="AO161" s="95">
        <f t="shared" si="97"/>
        <v>0</v>
      </c>
      <c r="AP161" s="95">
        <f t="shared" si="98"/>
        <v>0</v>
      </c>
      <c r="AQ161" s="95">
        <f t="shared" si="99"/>
        <v>0</v>
      </c>
      <c r="AR161" s="95">
        <f t="shared" si="100"/>
        <v>0</v>
      </c>
      <c r="AS161" s="95">
        <f t="shared" si="101"/>
        <v>0</v>
      </c>
    </row>
    <row r="162" spans="1:45" x14ac:dyDescent="0.2">
      <c r="A162" s="120" t="s">
        <v>72</v>
      </c>
      <c r="B162" s="10" t="s">
        <v>18</v>
      </c>
      <c r="C162" s="56">
        <v>20746</v>
      </c>
      <c r="D162" s="75">
        <v>20000</v>
      </c>
      <c r="E162" s="56" t="s">
        <v>117</v>
      </c>
      <c r="F162" s="69">
        <v>0.31090000000000001</v>
      </c>
      <c r="G162" s="69">
        <v>1.84E-2</v>
      </c>
      <c r="H162" s="72">
        <f t="shared" si="79"/>
        <v>0.32930000000000004</v>
      </c>
      <c r="I162" s="63">
        <v>35855</v>
      </c>
      <c r="J162" s="64">
        <v>39141</v>
      </c>
      <c r="K162">
        <v>366</v>
      </c>
      <c r="L162">
        <v>365</v>
      </c>
      <c r="M162">
        <v>365</v>
      </c>
      <c r="N162">
        <v>365</v>
      </c>
      <c r="O162">
        <v>366</v>
      </c>
      <c r="P162">
        <v>365</v>
      </c>
      <c r="Q162">
        <v>365</v>
      </c>
      <c r="R162">
        <v>59</v>
      </c>
      <c r="S162">
        <v>0</v>
      </c>
      <c r="T162">
        <v>0</v>
      </c>
      <c r="U162">
        <v>0</v>
      </c>
      <c r="W162" s="30">
        <f t="shared" si="80"/>
        <v>7320000</v>
      </c>
      <c r="X162" s="30">
        <f t="shared" si="81"/>
        <v>7300000</v>
      </c>
      <c r="Y162" s="30">
        <f t="shared" si="82"/>
        <v>7300000</v>
      </c>
      <c r="Z162" s="30">
        <f t="shared" si="83"/>
        <v>7300000</v>
      </c>
      <c r="AA162" s="30">
        <f t="shared" si="84"/>
        <v>7320000</v>
      </c>
      <c r="AB162" s="30">
        <f t="shared" si="85"/>
        <v>7300000</v>
      </c>
      <c r="AC162" s="30">
        <f t="shared" si="86"/>
        <v>7300000</v>
      </c>
      <c r="AD162" s="30">
        <f t="shared" si="87"/>
        <v>1180000</v>
      </c>
      <c r="AE162" s="30">
        <f t="shared" si="88"/>
        <v>0</v>
      </c>
      <c r="AF162" s="30">
        <f t="shared" si="89"/>
        <v>0</v>
      </c>
      <c r="AG162" s="30">
        <f t="shared" si="90"/>
        <v>0</v>
      </c>
      <c r="AI162" s="95">
        <f t="shared" si="91"/>
        <v>2410476.0000000005</v>
      </c>
      <c r="AJ162" s="95">
        <f t="shared" si="92"/>
        <v>2403890.0000000005</v>
      </c>
      <c r="AK162" s="95">
        <f t="shared" si="93"/>
        <v>2403890.0000000005</v>
      </c>
      <c r="AL162" s="95">
        <f t="shared" si="94"/>
        <v>2403890.0000000005</v>
      </c>
      <c r="AM162" s="95">
        <f t="shared" si="95"/>
        <v>2410476.0000000005</v>
      </c>
      <c r="AN162" s="95">
        <f t="shared" si="96"/>
        <v>2403890.0000000005</v>
      </c>
      <c r="AO162" s="95">
        <f t="shared" si="97"/>
        <v>2403890.0000000005</v>
      </c>
      <c r="AP162" s="95">
        <f t="shared" si="98"/>
        <v>388574.00000000006</v>
      </c>
      <c r="AQ162" s="95">
        <f t="shared" si="99"/>
        <v>0</v>
      </c>
      <c r="AR162" s="95">
        <f t="shared" si="100"/>
        <v>0</v>
      </c>
      <c r="AS162" s="95">
        <f t="shared" si="101"/>
        <v>0</v>
      </c>
    </row>
    <row r="163" spans="1:45" x14ac:dyDescent="0.2">
      <c r="A163" s="118" t="s">
        <v>72</v>
      </c>
      <c r="B163" s="10" t="s">
        <v>49</v>
      </c>
      <c r="C163" s="56">
        <v>26816</v>
      </c>
      <c r="D163" s="75">
        <v>21500</v>
      </c>
      <c r="E163" s="57" t="s">
        <v>115</v>
      </c>
      <c r="F163" s="69">
        <f>0.17-0.102-0.0011-0.0153</f>
        <v>5.1600000000000014E-2</v>
      </c>
      <c r="G163" s="69">
        <v>1.5299999999999999E-2</v>
      </c>
      <c r="H163" s="72">
        <f t="shared" si="79"/>
        <v>6.6900000000000015E-2</v>
      </c>
      <c r="I163" s="63">
        <v>36646</v>
      </c>
      <c r="J163" s="64">
        <v>38472</v>
      </c>
      <c r="K163">
        <v>245</v>
      </c>
      <c r="L163">
        <v>365</v>
      </c>
      <c r="M163">
        <v>365</v>
      </c>
      <c r="N163">
        <v>365</v>
      </c>
      <c r="O163">
        <v>366</v>
      </c>
      <c r="P163">
        <v>120</v>
      </c>
      <c r="Q163">
        <v>0</v>
      </c>
      <c r="R163">
        <v>0</v>
      </c>
      <c r="S163">
        <v>0</v>
      </c>
      <c r="T163">
        <v>0</v>
      </c>
      <c r="U163">
        <v>0</v>
      </c>
      <c r="W163" s="30">
        <f t="shared" si="80"/>
        <v>5267500</v>
      </c>
      <c r="X163" s="30">
        <f t="shared" si="81"/>
        <v>7847500</v>
      </c>
      <c r="Y163" s="30">
        <f t="shared" si="82"/>
        <v>7847500</v>
      </c>
      <c r="Z163" s="30">
        <f t="shared" si="83"/>
        <v>7847500</v>
      </c>
      <c r="AA163" s="30">
        <f t="shared" si="84"/>
        <v>7869000</v>
      </c>
      <c r="AB163" s="30">
        <f t="shared" si="85"/>
        <v>2580000</v>
      </c>
      <c r="AC163" s="30">
        <f t="shared" si="86"/>
        <v>0</v>
      </c>
      <c r="AD163" s="30">
        <f t="shared" si="87"/>
        <v>0</v>
      </c>
      <c r="AE163" s="30">
        <f t="shared" si="88"/>
        <v>0</v>
      </c>
      <c r="AF163" s="30">
        <f t="shared" si="89"/>
        <v>0</v>
      </c>
      <c r="AG163" s="30">
        <f t="shared" si="90"/>
        <v>0</v>
      </c>
      <c r="AI163" s="95">
        <f t="shared" si="91"/>
        <v>352395.75000000006</v>
      </c>
      <c r="AJ163" s="95">
        <f t="shared" si="92"/>
        <v>524997.75000000012</v>
      </c>
      <c r="AK163" s="95">
        <f t="shared" si="93"/>
        <v>524997.75000000012</v>
      </c>
      <c r="AL163" s="95">
        <f t="shared" si="94"/>
        <v>524997.75000000012</v>
      </c>
      <c r="AM163" s="95">
        <f t="shared" si="95"/>
        <v>526436.10000000009</v>
      </c>
      <c r="AN163" s="95">
        <f t="shared" si="96"/>
        <v>172602.00000000003</v>
      </c>
      <c r="AO163" s="95">
        <f t="shared" si="97"/>
        <v>0</v>
      </c>
      <c r="AP163" s="95">
        <f t="shared" si="98"/>
        <v>0</v>
      </c>
      <c r="AQ163" s="95">
        <f t="shared" si="99"/>
        <v>0</v>
      </c>
      <c r="AR163" s="95">
        <f t="shared" si="100"/>
        <v>0</v>
      </c>
      <c r="AS163" s="95">
        <f t="shared" si="101"/>
        <v>0</v>
      </c>
    </row>
    <row r="164" spans="1:45" x14ac:dyDescent="0.2">
      <c r="A164" s="101" t="s">
        <v>72</v>
      </c>
      <c r="B164" s="10" t="s">
        <v>49</v>
      </c>
      <c r="C164" s="60">
        <v>27293</v>
      </c>
      <c r="D164" s="75">
        <v>49000</v>
      </c>
      <c r="E164" s="57" t="s">
        <v>115</v>
      </c>
      <c r="F164" s="69">
        <f>0.285-0.102-0.0071-0.0153</f>
        <v>0.16059999999999999</v>
      </c>
      <c r="G164" s="69">
        <f>0.0224-0.0071</f>
        <v>1.5299999999999999E-2</v>
      </c>
      <c r="H164" s="72">
        <f t="shared" si="79"/>
        <v>0.1759</v>
      </c>
      <c r="I164" s="63">
        <v>36831</v>
      </c>
      <c r="J164" s="64">
        <v>37195</v>
      </c>
      <c r="K164">
        <v>61</v>
      </c>
      <c r="L164">
        <v>304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 s="30">
        <f t="shared" si="80"/>
        <v>2989000</v>
      </c>
      <c r="X164" s="30">
        <f t="shared" si="81"/>
        <v>14896000</v>
      </c>
      <c r="Y164" s="30">
        <f t="shared" si="82"/>
        <v>0</v>
      </c>
      <c r="Z164" s="30">
        <f t="shared" si="83"/>
        <v>0</v>
      </c>
      <c r="AA164" s="30">
        <f t="shared" si="84"/>
        <v>0</v>
      </c>
      <c r="AB164" s="30">
        <f t="shared" si="85"/>
        <v>0</v>
      </c>
      <c r="AC164" s="30">
        <f t="shared" si="86"/>
        <v>0</v>
      </c>
      <c r="AD164" s="30">
        <f t="shared" si="87"/>
        <v>0</v>
      </c>
      <c r="AE164" s="30">
        <f t="shared" si="88"/>
        <v>0</v>
      </c>
      <c r="AF164" s="30">
        <f t="shared" si="89"/>
        <v>0</v>
      </c>
      <c r="AG164" s="30">
        <f t="shared" si="90"/>
        <v>0</v>
      </c>
      <c r="AI164" s="95">
        <f t="shared" si="91"/>
        <v>525765.1</v>
      </c>
      <c r="AJ164" s="95">
        <f t="shared" si="92"/>
        <v>2620206.4</v>
      </c>
      <c r="AK164" s="95">
        <f t="shared" si="93"/>
        <v>0</v>
      </c>
      <c r="AL164" s="95">
        <f t="shared" si="94"/>
        <v>0</v>
      </c>
      <c r="AM164" s="95">
        <f t="shared" si="95"/>
        <v>0</v>
      </c>
      <c r="AN164" s="95">
        <f t="shared" si="96"/>
        <v>0</v>
      </c>
      <c r="AO164" s="95">
        <f t="shared" si="97"/>
        <v>0</v>
      </c>
      <c r="AP164" s="95">
        <f t="shared" si="98"/>
        <v>0</v>
      </c>
      <c r="AQ164" s="95">
        <f t="shared" si="99"/>
        <v>0</v>
      </c>
      <c r="AR164" s="95">
        <f t="shared" si="100"/>
        <v>0</v>
      </c>
      <c r="AS164" s="95">
        <f t="shared" si="101"/>
        <v>0</v>
      </c>
    </row>
    <row r="165" spans="1:45" x14ac:dyDescent="0.2">
      <c r="A165" s="101" t="s">
        <v>72</v>
      </c>
      <c r="B165" s="10" t="s">
        <v>49</v>
      </c>
      <c r="C165" s="60">
        <v>27352</v>
      </c>
      <c r="D165" s="75">
        <v>21500</v>
      </c>
      <c r="E165" s="56" t="s">
        <v>122</v>
      </c>
      <c r="F165" s="69">
        <f>0.3-0.0407-0.0093-0.0153</f>
        <v>0.23469999999999996</v>
      </c>
      <c r="G165" s="69">
        <v>1.5299999999999999E-2</v>
      </c>
      <c r="H165" s="72">
        <f t="shared" si="79"/>
        <v>0.24999999999999997</v>
      </c>
      <c r="I165" s="63">
        <v>37196</v>
      </c>
      <c r="J165" s="64">
        <v>37560</v>
      </c>
      <c r="K165">
        <v>0</v>
      </c>
      <c r="L165">
        <v>61</v>
      </c>
      <c r="M165">
        <v>304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 s="30">
        <f t="shared" si="80"/>
        <v>0</v>
      </c>
      <c r="X165" s="30">
        <f t="shared" si="81"/>
        <v>1311500</v>
      </c>
      <c r="Y165" s="30">
        <f t="shared" si="82"/>
        <v>6536000</v>
      </c>
      <c r="Z165" s="30">
        <f t="shared" si="83"/>
        <v>0</v>
      </c>
      <c r="AA165" s="30">
        <f t="shared" si="84"/>
        <v>0</v>
      </c>
      <c r="AB165" s="30">
        <f t="shared" si="85"/>
        <v>0</v>
      </c>
      <c r="AC165" s="30">
        <f t="shared" si="86"/>
        <v>0</v>
      </c>
      <c r="AD165" s="30">
        <f t="shared" si="87"/>
        <v>0</v>
      </c>
      <c r="AE165" s="30">
        <f t="shared" si="88"/>
        <v>0</v>
      </c>
      <c r="AF165" s="30">
        <f t="shared" si="89"/>
        <v>0</v>
      </c>
      <c r="AG165" s="30">
        <f t="shared" si="90"/>
        <v>0</v>
      </c>
      <c r="AI165" s="95">
        <f t="shared" si="91"/>
        <v>0</v>
      </c>
      <c r="AJ165" s="95">
        <f t="shared" si="92"/>
        <v>327874.99999999994</v>
      </c>
      <c r="AK165" s="95">
        <f t="shared" si="93"/>
        <v>1633999.9999999998</v>
      </c>
      <c r="AL165" s="95">
        <f t="shared" si="94"/>
        <v>0</v>
      </c>
      <c r="AM165" s="95">
        <f t="shared" si="95"/>
        <v>0</v>
      </c>
      <c r="AN165" s="95">
        <f t="shared" si="96"/>
        <v>0</v>
      </c>
      <c r="AO165" s="95">
        <f t="shared" si="97"/>
        <v>0</v>
      </c>
      <c r="AP165" s="95">
        <f t="shared" si="98"/>
        <v>0</v>
      </c>
      <c r="AQ165" s="95">
        <f t="shared" si="99"/>
        <v>0</v>
      </c>
      <c r="AR165" s="95">
        <f t="shared" si="100"/>
        <v>0</v>
      </c>
      <c r="AS165" s="95">
        <f t="shared" si="101"/>
        <v>0</v>
      </c>
    </row>
    <row r="166" spans="1:45" x14ac:dyDescent="0.2">
      <c r="A166" s="118" t="s">
        <v>72</v>
      </c>
      <c r="B166" s="10" t="s">
        <v>49</v>
      </c>
      <c r="C166" s="56">
        <v>27504</v>
      </c>
      <c r="D166" s="75">
        <v>35000</v>
      </c>
      <c r="E166" s="56" t="s">
        <v>122</v>
      </c>
      <c r="F166" s="79">
        <f>0.3823-0.102-0.0011-0.0153</f>
        <v>0.26390000000000002</v>
      </c>
      <c r="G166" s="69">
        <v>1.5299999999999999E-2</v>
      </c>
      <c r="H166" s="72">
        <f t="shared" si="79"/>
        <v>0.2792</v>
      </c>
      <c r="I166" s="63">
        <v>37986</v>
      </c>
      <c r="J166" s="64">
        <v>38717</v>
      </c>
      <c r="K166">
        <v>0</v>
      </c>
      <c r="L166">
        <v>0</v>
      </c>
      <c r="M166">
        <v>0</v>
      </c>
      <c r="N166">
        <v>0</v>
      </c>
      <c r="O166">
        <v>366</v>
      </c>
      <c r="P166">
        <v>365</v>
      </c>
      <c r="Q166">
        <v>0</v>
      </c>
      <c r="R166">
        <v>0</v>
      </c>
      <c r="S166">
        <v>0</v>
      </c>
      <c r="T166">
        <v>0</v>
      </c>
      <c r="U166">
        <v>0</v>
      </c>
      <c r="W166" s="30">
        <f t="shared" si="80"/>
        <v>0</v>
      </c>
      <c r="X166" s="30">
        <f t="shared" si="81"/>
        <v>0</v>
      </c>
      <c r="Y166" s="30">
        <f t="shared" si="82"/>
        <v>0</v>
      </c>
      <c r="Z166" s="30">
        <f t="shared" si="83"/>
        <v>0</v>
      </c>
      <c r="AA166" s="30">
        <f t="shared" si="84"/>
        <v>12810000</v>
      </c>
      <c r="AB166" s="30">
        <f t="shared" si="85"/>
        <v>12775000</v>
      </c>
      <c r="AC166" s="30">
        <f t="shared" si="86"/>
        <v>0</v>
      </c>
      <c r="AD166" s="30">
        <f t="shared" si="87"/>
        <v>0</v>
      </c>
      <c r="AE166" s="30">
        <f t="shared" si="88"/>
        <v>0</v>
      </c>
      <c r="AF166" s="30">
        <f t="shared" si="89"/>
        <v>0</v>
      </c>
      <c r="AG166" s="30">
        <f t="shared" si="90"/>
        <v>0</v>
      </c>
      <c r="AI166" s="95">
        <f t="shared" si="91"/>
        <v>0</v>
      </c>
      <c r="AJ166" s="95">
        <f t="shared" si="92"/>
        <v>0</v>
      </c>
      <c r="AK166" s="95">
        <f t="shared" si="93"/>
        <v>0</v>
      </c>
      <c r="AL166" s="95">
        <f t="shared" si="94"/>
        <v>0</v>
      </c>
      <c r="AM166" s="95">
        <f t="shared" si="95"/>
        <v>3576552</v>
      </c>
      <c r="AN166" s="95">
        <f t="shared" si="96"/>
        <v>3566780</v>
      </c>
      <c r="AO166" s="95">
        <f t="shared" si="97"/>
        <v>0</v>
      </c>
      <c r="AP166" s="95">
        <f t="shared" si="98"/>
        <v>0</v>
      </c>
      <c r="AQ166" s="95">
        <f t="shared" si="99"/>
        <v>0</v>
      </c>
      <c r="AR166" s="95">
        <f t="shared" si="100"/>
        <v>0</v>
      </c>
      <c r="AS166" s="95">
        <f t="shared" si="101"/>
        <v>0</v>
      </c>
    </row>
    <row r="167" spans="1:45" x14ac:dyDescent="0.2">
      <c r="A167" s="118" t="s">
        <v>72</v>
      </c>
      <c r="B167" s="10" t="s">
        <v>23</v>
      </c>
      <c r="C167" s="56">
        <v>24670</v>
      </c>
      <c r="D167" s="75">
        <v>10000</v>
      </c>
      <c r="E167" s="56" t="s">
        <v>121</v>
      </c>
      <c r="F167" s="69">
        <f>0.17-0.102-0.0153-0.0011</f>
        <v>5.1600000000000021E-2</v>
      </c>
      <c r="G167" s="69">
        <v>1.5299999999999999E-2</v>
      </c>
      <c r="H167" s="72">
        <f t="shared" si="79"/>
        <v>6.6900000000000015E-2</v>
      </c>
      <c r="I167" s="63">
        <v>35490</v>
      </c>
      <c r="J167" s="64">
        <v>39172</v>
      </c>
      <c r="K167">
        <v>366</v>
      </c>
      <c r="L167">
        <v>365</v>
      </c>
      <c r="M167">
        <v>365</v>
      </c>
      <c r="N167">
        <v>365</v>
      </c>
      <c r="O167">
        <v>366</v>
      </c>
      <c r="P167">
        <v>365</v>
      </c>
      <c r="Q167">
        <v>365</v>
      </c>
      <c r="R167">
        <v>90</v>
      </c>
      <c r="S167">
        <v>0</v>
      </c>
      <c r="T167">
        <v>0</v>
      </c>
      <c r="U167">
        <v>0</v>
      </c>
      <c r="W167" s="30">
        <f t="shared" si="80"/>
        <v>3660000</v>
      </c>
      <c r="X167" s="30">
        <f t="shared" si="81"/>
        <v>3650000</v>
      </c>
      <c r="Y167" s="30">
        <f t="shared" si="82"/>
        <v>3650000</v>
      </c>
      <c r="Z167" s="30">
        <f t="shared" si="83"/>
        <v>3650000</v>
      </c>
      <c r="AA167" s="30">
        <f t="shared" si="84"/>
        <v>3660000</v>
      </c>
      <c r="AB167" s="30">
        <f t="shared" si="85"/>
        <v>3650000</v>
      </c>
      <c r="AC167" s="30">
        <f t="shared" si="86"/>
        <v>3650000</v>
      </c>
      <c r="AD167" s="30">
        <f t="shared" si="87"/>
        <v>900000</v>
      </c>
      <c r="AE167" s="30">
        <f t="shared" si="88"/>
        <v>0</v>
      </c>
      <c r="AF167" s="30">
        <f t="shared" si="89"/>
        <v>0</v>
      </c>
      <c r="AG167" s="30">
        <f t="shared" si="90"/>
        <v>0</v>
      </c>
      <c r="AI167" s="95">
        <f t="shared" si="91"/>
        <v>244854.00000000006</v>
      </c>
      <c r="AJ167" s="95">
        <f t="shared" si="92"/>
        <v>244185.00000000006</v>
      </c>
      <c r="AK167" s="95">
        <f t="shared" si="93"/>
        <v>244185.00000000006</v>
      </c>
      <c r="AL167" s="95">
        <f t="shared" si="94"/>
        <v>244185.00000000006</v>
      </c>
      <c r="AM167" s="95">
        <f t="shared" si="95"/>
        <v>244854.00000000006</v>
      </c>
      <c r="AN167" s="95">
        <f t="shared" si="96"/>
        <v>244185.00000000006</v>
      </c>
      <c r="AO167" s="95">
        <f t="shared" si="97"/>
        <v>244185.00000000006</v>
      </c>
      <c r="AP167" s="95">
        <f t="shared" si="98"/>
        <v>60210.000000000015</v>
      </c>
      <c r="AQ167" s="95">
        <f t="shared" si="99"/>
        <v>0</v>
      </c>
      <c r="AR167" s="95">
        <f t="shared" si="100"/>
        <v>0</v>
      </c>
      <c r="AS167" s="95">
        <f t="shared" si="101"/>
        <v>0</v>
      </c>
    </row>
    <row r="168" spans="1:45" x14ac:dyDescent="0.2">
      <c r="A168" s="101" t="s">
        <v>72</v>
      </c>
      <c r="B168" s="10" t="s">
        <v>33</v>
      </c>
      <c r="C168" s="56">
        <v>8255</v>
      </c>
      <c r="D168" s="75">
        <v>306000</v>
      </c>
      <c r="E168" s="56" t="s">
        <v>117</v>
      </c>
      <c r="F168" s="69">
        <v>0.30919999999999997</v>
      </c>
      <c r="G168" s="69">
        <f>0.0224-0.0071</f>
        <v>1.5299999999999999E-2</v>
      </c>
      <c r="H168" s="72">
        <f t="shared" si="79"/>
        <v>0.32449999999999996</v>
      </c>
      <c r="I168" s="63">
        <v>32782</v>
      </c>
      <c r="J168" s="64">
        <v>38656</v>
      </c>
      <c r="K168">
        <v>366</v>
      </c>
      <c r="L168">
        <v>365</v>
      </c>
      <c r="M168">
        <v>365</v>
      </c>
      <c r="N168">
        <v>365</v>
      </c>
      <c r="O168">
        <v>366</v>
      </c>
      <c r="P168">
        <v>304</v>
      </c>
      <c r="Q168">
        <v>0</v>
      </c>
      <c r="R168">
        <v>0</v>
      </c>
      <c r="S168">
        <v>0</v>
      </c>
      <c r="T168">
        <v>0</v>
      </c>
      <c r="U168">
        <v>0</v>
      </c>
      <c r="W168" s="30">
        <f t="shared" si="80"/>
        <v>111996000</v>
      </c>
      <c r="X168" s="30">
        <f t="shared" si="81"/>
        <v>111690000</v>
      </c>
      <c r="Y168" s="30">
        <f t="shared" si="82"/>
        <v>111690000</v>
      </c>
      <c r="Z168" s="30">
        <f t="shared" si="83"/>
        <v>111690000</v>
      </c>
      <c r="AA168" s="30">
        <f t="shared" si="84"/>
        <v>111996000</v>
      </c>
      <c r="AB168" s="30">
        <f t="shared" si="85"/>
        <v>93024000</v>
      </c>
      <c r="AC168" s="30">
        <f t="shared" si="86"/>
        <v>0</v>
      </c>
      <c r="AD168" s="30">
        <f t="shared" si="87"/>
        <v>0</v>
      </c>
      <c r="AE168" s="30">
        <f t="shared" si="88"/>
        <v>0</v>
      </c>
      <c r="AF168" s="30">
        <f t="shared" si="89"/>
        <v>0</v>
      </c>
      <c r="AG168" s="30">
        <f t="shared" si="90"/>
        <v>0</v>
      </c>
      <c r="AI168" s="95">
        <f t="shared" si="91"/>
        <v>36342701.999999993</v>
      </c>
      <c r="AJ168" s="95">
        <f t="shared" si="92"/>
        <v>36243404.999999993</v>
      </c>
      <c r="AK168" s="95">
        <f t="shared" si="93"/>
        <v>36243404.999999993</v>
      </c>
      <c r="AL168" s="95">
        <f t="shared" si="94"/>
        <v>36243404.999999993</v>
      </c>
      <c r="AM168" s="95">
        <f t="shared" si="95"/>
        <v>36342701.999999993</v>
      </c>
      <c r="AN168" s="95">
        <f t="shared" si="96"/>
        <v>30186287.999999996</v>
      </c>
      <c r="AO168" s="95">
        <f t="shared" si="97"/>
        <v>0</v>
      </c>
      <c r="AP168" s="95">
        <f t="shared" si="98"/>
        <v>0</v>
      </c>
      <c r="AQ168" s="95">
        <f t="shared" si="99"/>
        <v>0</v>
      </c>
      <c r="AR168" s="95">
        <f t="shared" si="100"/>
        <v>0</v>
      </c>
      <c r="AS168" s="95">
        <f t="shared" si="101"/>
        <v>0</v>
      </c>
    </row>
    <row r="169" spans="1:45" x14ac:dyDescent="0.2">
      <c r="A169" s="118" t="s">
        <v>72</v>
      </c>
      <c r="B169" s="10" t="s">
        <v>48</v>
      </c>
      <c r="C169" s="56">
        <v>26719</v>
      </c>
      <c r="D169" s="75">
        <v>25000</v>
      </c>
      <c r="E169" s="57" t="s">
        <v>115</v>
      </c>
      <c r="F169" s="69">
        <f>0.205-0.102-0.0011-0.0142</f>
        <v>8.7699999999999986E-2</v>
      </c>
      <c r="G169" s="69">
        <f>0.0153-0.0011</f>
        <v>1.4199999999999999E-2</v>
      </c>
      <c r="H169" s="72">
        <f t="shared" si="79"/>
        <v>0.10189999999999999</v>
      </c>
      <c r="I169" s="63">
        <v>36646</v>
      </c>
      <c r="J169" s="64">
        <v>38472</v>
      </c>
      <c r="K169">
        <v>245</v>
      </c>
      <c r="L169">
        <v>365</v>
      </c>
      <c r="M169">
        <v>365</v>
      </c>
      <c r="N169">
        <v>365</v>
      </c>
      <c r="O169">
        <v>366</v>
      </c>
      <c r="P169">
        <v>120</v>
      </c>
      <c r="Q169">
        <v>0</v>
      </c>
      <c r="R169">
        <v>0</v>
      </c>
      <c r="S169">
        <v>0</v>
      </c>
      <c r="T169">
        <v>0</v>
      </c>
      <c r="U169">
        <v>0</v>
      </c>
      <c r="W169" s="30">
        <f t="shared" si="80"/>
        <v>6125000</v>
      </c>
      <c r="X169" s="30">
        <f t="shared" si="81"/>
        <v>9125000</v>
      </c>
      <c r="Y169" s="30">
        <f t="shared" si="82"/>
        <v>9125000</v>
      </c>
      <c r="Z169" s="30">
        <f t="shared" si="83"/>
        <v>9125000</v>
      </c>
      <c r="AA169" s="30">
        <f t="shared" si="84"/>
        <v>9150000</v>
      </c>
      <c r="AB169" s="30">
        <f t="shared" si="85"/>
        <v>3000000</v>
      </c>
      <c r="AC169" s="30">
        <f t="shared" si="86"/>
        <v>0</v>
      </c>
      <c r="AD169" s="30">
        <f t="shared" si="87"/>
        <v>0</v>
      </c>
      <c r="AE169" s="30">
        <f t="shared" si="88"/>
        <v>0</v>
      </c>
      <c r="AF169" s="30">
        <f t="shared" si="89"/>
        <v>0</v>
      </c>
      <c r="AG169" s="30">
        <f t="shared" si="90"/>
        <v>0</v>
      </c>
      <c r="AI169" s="95">
        <f t="shared" si="91"/>
        <v>624137.5</v>
      </c>
      <c r="AJ169" s="95">
        <f t="shared" si="92"/>
        <v>929837.49999999988</v>
      </c>
      <c r="AK169" s="95">
        <f t="shared" si="93"/>
        <v>929837.49999999988</v>
      </c>
      <c r="AL169" s="95">
        <f t="shared" si="94"/>
        <v>929837.49999999988</v>
      </c>
      <c r="AM169" s="95">
        <f t="shared" si="95"/>
        <v>932384.99999999988</v>
      </c>
      <c r="AN169" s="95">
        <f t="shared" si="96"/>
        <v>305700</v>
      </c>
      <c r="AO169" s="95">
        <f t="shared" si="97"/>
        <v>0</v>
      </c>
      <c r="AP169" s="95">
        <f t="shared" si="98"/>
        <v>0</v>
      </c>
      <c r="AQ169" s="95">
        <f t="shared" si="99"/>
        <v>0</v>
      </c>
      <c r="AR169" s="95">
        <f t="shared" si="100"/>
        <v>0</v>
      </c>
      <c r="AS169" s="95">
        <f t="shared" si="101"/>
        <v>0</v>
      </c>
    </row>
    <row r="170" spans="1:45" x14ac:dyDescent="0.2">
      <c r="A170" s="101" t="s">
        <v>72</v>
      </c>
      <c r="B170" s="10" t="s">
        <v>68</v>
      </c>
      <c r="C170" s="60">
        <v>22037</v>
      </c>
      <c r="D170" s="75">
        <v>3000</v>
      </c>
      <c r="E170" s="57" t="s">
        <v>124</v>
      </c>
      <c r="F170" s="69">
        <v>0</v>
      </c>
      <c r="G170" s="69">
        <v>0</v>
      </c>
      <c r="H170" s="72">
        <f>0.1328-0.05</f>
        <v>8.2799999999999999E-2</v>
      </c>
      <c r="I170" s="63"/>
      <c r="J170" s="64"/>
      <c r="K170">
        <v>366</v>
      </c>
      <c r="L170">
        <v>365</v>
      </c>
      <c r="M170">
        <v>365</v>
      </c>
      <c r="N170">
        <v>365</v>
      </c>
      <c r="O170">
        <v>366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30">
        <f t="shared" si="80"/>
        <v>1098000</v>
      </c>
      <c r="X170" s="30">
        <f t="shared" si="81"/>
        <v>1095000</v>
      </c>
      <c r="Y170" s="30">
        <f t="shared" si="82"/>
        <v>1095000</v>
      </c>
      <c r="Z170" s="30">
        <f t="shared" si="83"/>
        <v>1095000</v>
      </c>
      <c r="AA170" s="30">
        <f t="shared" si="84"/>
        <v>1098000</v>
      </c>
      <c r="AB170" s="30">
        <f t="shared" si="85"/>
        <v>0</v>
      </c>
      <c r="AC170" s="30">
        <f t="shared" si="86"/>
        <v>0</v>
      </c>
      <c r="AD170" s="30">
        <f t="shared" si="87"/>
        <v>0</v>
      </c>
      <c r="AE170" s="30">
        <f t="shared" si="88"/>
        <v>0</v>
      </c>
      <c r="AF170" s="30">
        <f t="shared" si="89"/>
        <v>0</v>
      </c>
      <c r="AG170" s="30">
        <f t="shared" si="90"/>
        <v>0</v>
      </c>
      <c r="AI170" s="95">
        <f t="shared" si="91"/>
        <v>0</v>
      </c>
      <c r="AJ170" s="95">
        <f t="shared" si="92"/>
        <v>0</v>
      </c>
      <c r="AK170" s="95">
        <f t="shared" si="93"/>
        <v>0</v>
      </c>
      <c r="AL170" s="95">
        <f t="shared" si="94"/>
        <v>0</v>
      </c>
      <c r="AM170" s="95">
        <f t="shared" si="95"/>
        <v>0</v>
      </c>
      <c r="AN170" s="95">
        <f t="shared" si="96"/>
        <v>0</v>
      </c>
      <c r="AO170" s="95">
        <f t="shared" si="97"/>
        <v>0</v>
      </c>
      <c r="AP170" s="95">
        <f t="shared" si="98"/>
        <v>0</v>
      </c>
      <c r="AQ170" s="95">
        <f t="shared" si="99"/>
        <v>0</v>
      </c>
      <c r="AR170" s="95">
        <f t="shared" si="100"/>
        <v>0</v>
      </c>
      <c r="AS170" s="95">
        <f t="shared" si="101"/>
        <v>0</v>
      </c>
    </row>
    <row r="171" spans="1:45" x14ac:dyDescent="0.2">
      <c r="A171" s="101" t="s">
        <v>72</v>
      </c>
      <c r="B171" s="10" t="s">
        <v>68</v>
      </c>
      <c r="C171" s="60">
        <v>27252</v>
      </c>
      <c r="D171" s="75">
        <v>14000</v>
      </c>
      <c r="E171" s="57" t="s">
        <v>115</v>
      </c>
      <c r="F171" s="69">
        <f>0.15-0.0407-0.0093-0.0153</f>
        <v>8.4699999999999998E-2</v>
      </c>
      <c r="G171" s="69">
        <f>0.0246-0.0093</f>
        <v>1.5300000000000001E-2</v>
      </c>
      <c r="H171" s="72">
        <f>+G171+F171</f>
        <v>0.1</v>
      </c>
      <c r="I171" s="63">
        <v>36831</v>
      </c>
      <c r="J171" s="64">
        <v>40482</v>
      </c>
      <c r="K171">
        <v>61</v>
      </c>
      <c r="L171">
        <v>151</v>
      </c>
      <c r="M171">
        <v>151</v>
      </c>
      <c r="N171">
        <v>151</v>
      </c>
      <c r="O171">
        <v>152</v>
      </c>
      <c r="P171">
        <v>151</v>
      </c>
      <c r="Q171">
        <v>151</v>
      </c>
      <c r="R171">
        <v>151</v>
      </c>
      <c r="S171">
        <v>152</v>
      </c>
      <c r="T171">
        <v>151</v>
      </c>
      <c r="U171">
        <v>151</v>
      </c>
      <c r="W171" s="30">
        <f t="shared" si="80"/>
        <v>854000</v>
      </c>
      <c r="X171" s="30">
        <f t="shared" si="81"/>
        <v>2114000</v>
      </c>
      <c r="Y171" s="30">
        <f t="shared" si="82"/>
        <v>2114000</v>
      </c>
      <c r="Z171" s="30">
        <f t="shared" si="83"/>
        <v>2114000</v>
      </c>
      <c r="AA171" s="30">
        <f t="shared" si="84"/>
        <v>2128000</v>
      </c>
      <c r="AB171" s="30">
        <f t="shared" si="85"/>
        <v>2114000</v>
      </c>
      <c r="AC171" s="30">
        <f t="shared" si="86"/>
        <v>2114000</v>
      </c>
      <c r="AD171" s="30">
        <f t="shared" si="87"/>
        <v>2114000</v>
      </c>
      <c r="AE171" s="30">
        <f t="shared" si="88"/>
        <v>2128000</v>
      </c>
      <c r="AF171" s="30">
        <f t="shared" si="89"/>
        <v>2114000</v>
      </c>
      <c r="AG171" s="30">
        <f t="shared" si="90"/>
        <v>2114000</v>
      </c>
      <c r="AI171" s="95">
        <f t="shared" si="91"/>
        <v>85400</v>
      </c>
      <c r="AJ171" s="95">
        <f t="shared" si="92"/>
        <v>211400</v>
      </c>
      <c r="AK171" s="95">
        <f t="shared" si="93"/>
        <v>211400</v>
      </c>
      <c r="AL171" s="95">
        <f t="shared" si="94"/>
        <v>211400</v>
      </c>
      <c r="AM171" s="95">
        <f t="shared" si="95"/>
        <v>212800</v>
      </c>
      <c r="AN171" s="95">
        <f t="shared" si="96"/>
        <v>211400</v>
      </c>
      <c r="AO171" s="95">
        <f t="shared" si="97"/>
        <v>211400</v>
      </c>
      <c r="AP171" s="95">
        <f t="shared" si="98"/>
        <v>211400</v>
      </c>
      <c r="AQ171" s="95">
        <f t="shared" si="99"/>
        <v>212800</v>
      </c>
      <c r="AR171" s="95">
        <f t="shared" si="100"/>
        <v>211400</v>
      </c>
      <c r="AS171" s="95">
        <f t="shared" si="101"/>
        <v>211400</v>
      </c>
    </row>
    <row r="172" spans="1:45" x14ac:dyDescent="0.2">
      <c r="A172" s="118" t="s">
        <v>72</v>
      </c>
      <c r="B172" s="10" t="s">
        <v>55</v>
      </c>
      <c r="C172" s="56">
        <v>26960</v>
      </c>
      <c r="D172" s="75">
        <v>20000</v>
      </c>
      <c r="E172" s="57" t="s">
        <v>115</v>
      </c>
      <c r="F172" s="69">
        <f>0.19-0.102-0.0011-0.0153</f>
        <v>7.1600000000000011E-2</v>
      </c>
      <c r="G172" s="69">
        <v>1.5299999999999999E-2</v>
      </c>
      <c r="H172" s="72">
        <f>+G172+F172</f>
        <v>8.6900000000000005E-2</v>
      </c>
      <c r="I172" s="63">
        <v>36525</v>
      </c>
      <c r="J172" s="64">
        <v>38077</v>
      </c>
      <c r="K172">
        <v>366</v>
      </c>
      <c r="L172">
        <v>365</v>
      </c>
      <c r="M172">
        <v>365</v>
      </c>
      <c r="N172">
        <v>365</v>
      </c>
      <c r="O172">
        <v>91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W172" s="30">
        <f t="shared" si="80"/>
        <v>7320000</v>
      </c>
      <c r="X172" s="30">
        <f t="shared" si="81"/>
        <v>7300000</v>
      </c>
      <c r="Y172" s="30">
        <f t="shared" si="82"/>
        <v>7300000</v>
      </c>
      <c r="Z172" s="30">
        <f t="shared" si="83"/>
        <v>7300000</v>
      </c>
      <c r="AA172" s="30">
        <f t="shared" si="84"/>
        <v>1820000</v>
      </c>
      <c r="AB172" s="30">
        <f t="shared" si="85"/>
        <v>0</v>
      </c>
      <c r="AC172" s="30">
        <f t="shared" si="86"/>
        <v>0</v>
      </c>
      <c r="AD172" s="30">
        <f t="shared" si="87"/>
        <v>0</v>
      </c>
      <c r="AE172" s="30">
        <f t="shared" si="88"/>
        <v>0</v>
      </c>
      <c r="AF172" s="30">
        <f t="shared" si="89"/>
        <v>0</v>
      </c>
      <c r="AG172" s="30">
        <f t="shared" si="90"/>
        <v>0</v>
      </c>
      <c r="AI172" s="95">
        <f t="shared" si="91"/>
        <v>636108</v>
      </c>
      <c r="AJ172" s="95">
        <f t="shared" si="92"/>
        <v>634370</v>
      </c>
      <c r="AK172" s="95">
        <f t="shared" si="93"/>
        <v>634370</v>
      </c>
      <c r="AL172" s="95">
        <f t="shared" si="94"/>
        <v>634370</v>
      </c>
      <c r="AM172" s="95">
        <f t="shared" si="95"/>
        <v>158158</v>
      </c>
      <c r="AN172" s="95">
        <f t="shared" si="96"/>
        <v>0</v>
      </c>
      <c r="AO172" s="95">
        <f t="shared" si="97"/>
        <v>0</v>
      </c>
      <c r="AP172" s="95">
        <f t="shared" si="98"/>
        <v>0</v>
      </c>
      <c r="AQ172" s="95">
        <f t="shared" si="99"/>
        <v>0</v>
      </c>
      <c r="AR172" s="95">
        <f t="shared" si="100"/>
        <v>0</v>
      </c>
      <c r="AS172" s="95">
        <f t="shared" si="101"/>
        <v>0</v>
      </c>
    </row>
    <row r="173" spans="1:45" x14ac:dyDescent="0.2">
      <c r="A173" s="101" t="s">
        <v>72</v>
      </c>
      <c r="B173" s="10" t="s">
        <v>28</v>
      </c>
      <c r="C173" s="56">
        <v>25850</v>
      </c>
      <c r="D173" s="75">
        <v>30000</v>
      </c>
      <c r="E173" s="57" t="s">
        <v>115</v>
      </c>
      <c r="F173" s="69">
        <f>0.1354-0.0407-0.0093-0.0153</f>
        <v>7.0099999999999996E-2</v>
      </c>
      <c r="G173" s="69">
        <v>1.5299999999999999E-2</v>
      </c>
      <c r="H173" s="72">
        <f>+G173+F173</f>
        <v>8.539999999999999E-2</v>
      </c>
      <c r="I173" s="63"/>
      <c r="J173" s="64">
        <v>36556</v>
      </c>
      <c r="K173">
        <v>31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W173" s="30">
        <f t="shared" si="80"/>
        <v>930000</v>
      </c>
      <c r="X173" s="30">
        <f t="shared" si="81"/>
        <v>0</v>
      </c>
      <c r="Y173" s="30">
        <f t="shared" si="82"/>
        <v>0</v>
      </c>
      <c r="Z173" s="30">
        <f t="shared" si="83"/>
        <v>0</v>
      </c>
      <c r="AA173" s="30">
        <f t="shared" si="84"/>
        <v>0</v>
      </c>
      <c r="AB173" s="30">
        <f t="shared" si="85"/>
        <v>0</v>
      </c>
      <c r="AC173" s="30">
        <f t="shared" si="86"/>
        <v>0</v>
      </c>
      <c r="AD173" s="30">
        <f t="shared" si="87"/>
        <v>0</v>
      </c>
      <c r="AE173" s="30">
        <f t="shared" si="88"/>
        <v>0</v>
      </c>
      <c r="AF173" s="30">
        <f t="shared" si="89"/>
        <v>0</v>
      </c>
      <c r="AG173" s="30">
        <f t="shared" si="90"/>
        <v>0</v>
      </c>
      <c r="AI173" s="95">
        <f t="shared" si="91"/>
        <v>79421.999999999985</v>
      </c>
      <c r="AJ173" s="95">
        <f t="shared" si="92"/>
        <v>0</v>
      </c>
      <c r="AK173" s="95">
        <f t="shared" si="93"/>
        <v>0</v>
      </c>
      <c r="AL173" s="95">
        <f t="shared" si="94"/>
        <v>0</v>
      </c>
      <c r="AM173" s="95">
        <f t="shared" si="95"/>
        <v>0</v>
      </c>
      <c r="AN173" s="95">
        <f t="shared" si="96"/>
        <v>0</v>
      </c>
      <c r="AO173" s="95">
        <f t="shared" si="97"/>
        <v>0</v>
      </c>
      <c r="AP173" s="95">
        <f t="shared" si="98"/>
        <v>0</v>
      </c>
      <c r="AQ173" s="95">
        <f t="shared" si="99"/>
        <v>0</v>
      </c>
      <c r="AR173" s="95">
        <f t="shared" si="100"/>
        <v>0</v>
      </c>
      <c r="AS173" s="95">
        <f t="shared" si="101"/>
        <v>0</v>
      </c>
    </row>
    <row r="174" spans="1:45" x14ac:dyDescent="0.2">
      <c r="A174" s="101" t="s">
        <v>72</v>
      </c>
      <c r="B174" s="10" t="s">
        <v>30</v>
      </c>
      <c r="C174" s="56">
        <v>26393</v>
      </c>
      <c r="D174" s="75">
        <v>30000</v>
      </c>
      <c r="E174" s="57" t="s">
        <v>115</v>
      </c>
      <c r="F174" s="69">
        <f>0.113-0.0407-0.0093-0.0153</f>
        <v>4.7699999999999999E-2</v>
      </c>
      <c r="G174" s="69">
        <v>1.5299999999999999E-2</v>
      </c>
      <c r="H174" s="72">
        <f>+G174+F174</f>
        <v>6.3E-2</v>
      </c>
      <c r="I174" s="63"/>
      <c r="J174" s="64">
        <v>36616</v>
      </c>
      <c r="K174">
        <v>91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30">
        <f t="shared" si="80"/>
        <v>2730000</v>
      </c>
      <c r="X174" s="30">
        <f t="shared" si="81"/>
        <v>0</v>
      </c>
      <c r="Y174" s="30">
        <f t="shared" si="82"/>
        <v>0</v>
      </c>
      <c r="Z174" s="30">
        <f t="shared" si="83"/>
        <v>0</v>
      </c>
      <c r="AA174" s="30">
        <f t="shared" si="84"/>
        <v>0</v>
      </c>
      <c r="AB174" s="30">
        <f t="shared" si="85"/>
        <v>0</v>
      </c>
      <c r="AC174" s="30">
        <f t="shared" si="86"/>
        <v>0</v>
      </c>
      <c r="AD174" s="30">
        <f t="shared" si="87"/>
        <v>0</v>
      </c>
      <c r="AE174" s="30">
        <f t="shared" si="88"/>
        <v>0</v>
      </c>
      <c r="AF174" s="30">
        <f t="shared" si="89"/>
        <v>0</v>
      </c>
      <c r="AG174" s="30">
        <f t="shared" si="90"/>
        <v>0</v>
      </c>
      <c r="AI174" s="95">
        <f t="shared" si="91"/>
        <v>171990</v>
      </c>
      <c r="AJ174" s="95">
        <f t="shared" si="92"/>
        <v>0</v>
      </c>
      <c r="AK174" s="95">
        <f t="shared" si="93"/>
        <v>0</v>
      </c>
      <c r="AL174" s="95">
        <f t="shared" si="94"/>
        <v>0</v>
      </c>
      <c r="AM174" s="95">
        <f t="shared" si="95"/>
        <v>0</v>
      </c>
      <c r="AN174" s="95">
        <f t="shared" si="96"/>
        <v>0</v>
      </c>
      <c r="AO174" s="95">
        <f t="shared" si="97"/>
        <v>0</v>
      </c>
      <c r="AP174" s="95">
        <f t="shared" si="98"/>
        <v>0</v>
      </c>
      <c r="AQ174" s="95">
        <f t="shared" si="99"/>
        <v>0</v>
      </c>
      <c r="AR174" s="95">
        <f t="shared" si="100"/>
        <v>0</v>
      </c>
      <c r="AS174" s="95">
        <f t="shared" si="101"/>
        <v>0</v>
      </c>
    </row>
    <row r="175" spans="1:45" x14ac:dyDescent="0.2">
      <c r="A175" s="10" t="s">
        <v>24</v>
      </c>
      <c r="C175"/>
      <c r="D175" s="73"/>
      <c r="E175" s="11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C175" s="95"/>
      <c r="AD175" s="95"/>
      <c r="AE175" s="95"/>
      <c r="AF175" s="95"/>
      <c r="AG175" s="95"/>
      <c r="AH175" s="95"/>
      <c r="AI175" s="95">
        <f>SUM(AI130:AI174)</f>
        <v>79201845.614999995</v>
      </c>
      <c r="AJ175" s="95">
        <f t="shared" ref="AJ175:AS175" si="102">SUM(AJ130:AJ174)</f>
        <v>85442363.099999994</v>
      </c>
      <c r="AK175" s="95">
        <f t="shared" si="102"/>
        <v>94325428.409999996</v>
      </c>
      <c r="AL175" s="95">
        <f t="shared" si="102"/>
        <v>95910161.089999989</v>
      </c>
      <c r="AM175" s="95">
        <f t="shared" si="102"/>
        <v>83326999.099999994</v>
      </c>
      <c r="AN175" s="95">
        <f t="shared" si="102"/>
        <v>74599339</v>
      </c>
      <c r="AO175" s="95">
        <f t="shared" si="102"/>
        <v>30301171</v>
      </c>
      <c r="AP175" s="95">
        <f t="shared" si="102"/>
        <v>7685167.5</v>
      </c>
      <c r="AQ175" s="95">
        <f t="shared" si="102"/>
        <v>891546.10000000044</v>
      </c>
      <c r="AR175" s="95">
        <f t="shared" si="102"/>
        <v>211400</v>
      </c>
      <c r="AS175" s="95">
        <f t="shared" si="102"/>
        <v>211400</v>
      </c>
    </row>
    <row r="176" spans="1:45" x14ac:dyDescent="0.2">
      <c r="C176"/>
      <c r="D176"/>
      <c r="E176" s="11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</row>
    <row r="177" spans="1:45" x14ac:dyDescent="0.2">
      <c r="A177" s="10" t="s">
        <v>79</v>
      </c>
      <c r="C177"/>
      <c r="E177" s="11"/>
      <c r="F177" s="93"/>
      <c r="G177" s="93"/>
      <c r="H177" s="96">
        <f>+AI177/W177</f>
        <v>0.40091950784495806</v>
      </c>
      <c r="I177" s="93"/>
      <c r="J177" s="93"/>
      <c r="K177" s="93"/>
      <c r="L177" s="93"/>
      <c r="M177" s="93"/>
      <c r="N177" s="93"/>
      <c r="O177" s="93"/>
      <c r="P177" s="93"/>
      <c r="Q177" s="94"/>
      <c r="R177" s="93"/>
      <c r="S177" s="93"/>
      <c r="T177" s="93"/>
      <c r="U177" s="93"/>
      <c r="V177" s="93"/>
      <c r="W177" s="93">
        <f t="shared" ref="W177:AG177" si="103">SUM(W130:W174)</f>
        <v>360723725</v>
      </c>
      <c r="X177" s="93">
        <f t="shared" si="103"/>
        <v>396326000</v>
      </c>
      <c r="Y177" s="93">
        <f t="shared" si="103"/>
        <v>384503300</v>
      </c>
      <c r="Z177" s="93">
        <f t="shared" si="103"/>
        <v>347707600</v>
      </c>
      <c r="AA177" s="93">
        <f t="shared" si="103"/>
        <v>319806000</v>
      </c>
      <c r="AB177" s="93">
        <f t="shared" si="103"/>
        <v>271265500</v>
      </c>
      <c r="AC177" s="93">
        <f t="shared" si="103"/>
        <v>129741500</v>
      </c>
      <c r="AD177" s="93">
        <f t="shared" si="103"/>
        <v>57346500</v>
      </c>
      <c r="AE177" s="93">
        <f t="shared" si="103"/>
        <v>32484500</v>
      </c>
      <c r="AF177" s="93">
        <f t="shared" si="103"/>
        <v>2114000</v>
      </c>
      <c r="AG177" s="93">
        <f t="shared" si="103"/>
        <v>2114000</v>
      </c>
      <c r="AH177" s="95"/>
      <c r="AI177" s="93">
        <f>AI175+AI120+AI79+AI51</f>
        <v>144621178.29499999</v>
      </c>
      <c r="AJ177" s="93">
        <f t="shared" ref="AJ177:AS177" si="104">AJ175+AJ120+AJ79+AJ51</f>
        <v>157666443.34999999</v>
      </c>
      <c r="AK177" s="93">
        <f t="shared" si="104"/>
        <v>158901867.17999998</v>
      </c>
      <c r="AL177" s="93">
        <f t="shared" si="104"/>
        <v>154440045.75</v>
      </c>
      <c r="AM177" s="93">
        <f t="shared" si="104"/>
        <v>132349757.7</v>
      </c>
      <c r="AN177" s="93">
        <f t="shared" si="104"/>
        <v>117795039.75</v>
      </c>
      <c r="AO177" s="93">
        <f t="shared" si="104"/>
        <v>49885888.75</v>
      </c>
      <c r="AP177" s="93">
        <f t="shared" si="104"/>
        <v>14682749.15</v>
      </c>
      <c r="AQ177" s="93">
        <f t="shared" si="104"/>
        <v>2152746.1000000006</v>
      </c>
      <c r="AR177" s="93">
        <f t="shared" si="104"/>
        <v>466900</v>
      </c>
      <c r="AS177" s="93">
        <f t="shared" si="104"/>
        <v>424200</v>
      </c>
    </row>
    <row r="178" spans="1:45" x14ac:dyDescent="0.2">
      <c r="A178" s="10" t="s">
        <v>60</v>
      </c>
      <c r="C178"/>
      <c r="D178" s="73"/>
      <c r="E178" s="11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3"/>
      <c r="S178" s="93"/>
      <c r="T178" s="93"/>
      <c r="U178" s="93"/>
      <c r="V178" s="93"/>
      <c r="W178" s="93">
        <f>+W177/K6</f>
        <v>985583.94808743172</v>
      </c>
      <c r="X178" s="93">
        <f t="shared" ref="X178:AG178" si="105">+X177/L6</f>
        <v>1085824.6575342466</v>
      </c>
      <c r="Y178" s="93">
        <f t="shared" si="105"/>
        <v>1053433.6986301369</v>
      </c>
      <c r="Z178" s="93">
        <f t="shared" si="105"/>
        <v>952623.56164383562</v>
      </c>
      <c r="AA178" s="93">
        <f t="shared" si="105"/>
        <v>873786.88524590165</v>
      </c>
      <c r="AB178" s="93">
        <f t="shared" si="105"/>
        <v>743193.15068493155</v>
      </c>
      <c r="AC178" s="93">
        <f t="shared" si="105"/>
        <v>355456.16438356164</v>
      </c>
      <c r="AD178" s="93">
        <f t="shared" si="105"/>
        <v>157113.69863013699</v>
      </c>
      <c r="AE178" s="93">
        <f t="shared" si="105"/>
        <v>88755.464480874318</v>
      </c>
      <c r="AF178" s="93">
        <f t="shared" si="105"/>
        <v>5791.7808219178078</v>
      </c>
      <c r="AG178" s="93">
        <f t="shared" si="105"/>
        <v>5791.7808219178078</v>
      </c>
      <c r="AH178" s="98"/>
      <c r="AI178" s="98"/>
      <c r="AJ178" s="98"/>
      <c r="AK178" s="98"/>
      <c r="AL178" s="98"/>
      <c r="AM178" s="98"/>
    </row>
    <row r="179" spans="1:45" x14ac:dyDescent="0.2">
      <c r="A179" s="10" t="s">
        <v>66</v>
      </c>
      <c r="C179"/>
      <c r="E179" s="11"/>
      <c r="F179" s="93"/>
      <c r="G179" s="93"/>
      <c r="H179" s="96">
        <v>8.6777386708011203E-2</v>
      </c>
      <c r="I179" s="93"/>
      <c r="J179" s="93"/>
      <c r="K179" s="93"/>
      <c r="L179" s="93"/>
      <c r="M179" s="93"/>
      <c r="N179" s="93"/>
      <c r="O179" s="93"/>
      <c r="P179" s="93"/>
      <c r="Q179" s="94"/>
      <c r="R179" s="93"/>
      <c r="S179" s="93"/>
      <c r="T179" s="93"/>
      <c r="U179" s="93"/>
      <c r="V179" s="93"/>
      <c r="W179" s="93">
        <f>1090000-W178</f>
        <v>104416.05191256828</v>
      </c>
      <c r="X179" s="93">
        <f t="shared" ref="X179:AG179" si="106">1090000-X178</f>
        <v>4175.3424657534342</v>
      </c>
      <c r="Y179" s="93">
        <f t="shared" si="106"/>
        <v>36566.301369863097</v>
      </c>
      <c r="Z179" s="93">
        <f t="shared" si="106"/>
        <v>137376.43835616438</v>
      </c>
      <c r="AA179" s="93">
        <f t="shared" si="106"/>
        <v>216213.11475409835</v>
      </c>
      <c r="AB179" s="93">
        <f t="shared" si="106"/>
        <v>346806.84931506845</v>
      </c>
      <c r="AC179" s="93">
        <f t="shared" si="106"/>
        <v>734543.83561643842</v>
      </c>
      <c r="AD179" s="93">
        <f t="shared" si="106"/>
        <v>932886.30136986298</v>
      </c>
      <c r="AE179" s="93">
        <f t="shared" si="106"/>
        <v>1001244.5355191256</v>
      </c>
      <c r="AF179" s="93">
        <f t="shared" si="106"/>
        <v>1084208.2191780822</v>
      </c>
      <c r="AG179" s="93">
        <f t="shared" si="106"/>
        <v>1084208.2191780822</v>
      </c>
      <c r="AH179" s="95"/>
      <c r="AI179" s="95"/>
      <c r="AJ179" s="95"/>
      <c r="AK179" s="95"/>
      <c r="AL179" s="95"/>
      <c r="AM179" s="95"/>
    </row>
    <row r="180" spans="1:45" x14ac:dyDescent="0.2">
      <c r="A180" s="10" t="s">
        <v>138</v>
      </c>
      <c r="C180"/>
      <c r="D180" s="97"/>
      <c r="E180" s="11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</row>
  </sheetData>
  <mergeCells count="12">
    <mergeCell ref="K87:U87"/>
    <mergeCell ref="W87:AG87"/>
    <mergeCell ref="AI87:AS87"/>
    <mergeCell ref="K128:U128"/>
    <mergeCell ref="W128:AG128"/>
    <mergeCell ref="AI128:AS128"/>
    <mergeCell ref="K8:U8"/>
    <mergeCell ref="W8:AG8"/>
    <mergeCell ref="AI8:AS8"/>
    <mergeCell ref="K59:U59"/>
    <mergeCell ref="W59:AG59"/>
    <mergeCell ref="AI59:AS59"/>
  </mergeCells>
  <phoneticPr fontId="0" type="noConversion"/>
  <pageMargins left="0.37" right="0.26" top="0.49" bottom="0.48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1"/>
  <sheetViews>
    <sheetView topLeftCell="A69" zoomScale="75" workbookViewId="0">
      <selection activeCell="A99" sqref="A99"/>
    </sheetView>
  </sheetViews>
  <sheetFormatPr defaultRowHeight="12.75" x14ac:dyDescent="0.2"/>
  <cols>
    <col min="1" max="1" width="20.28515625" bestFit="1" customWidth="1"/>
    <col min="2" max="2" width="24.140625" customWidth="1"/>
    <col min="3" max="3" width="9.140625" style="56"/>
    <col min="4" max="4" width="11.28515625" style="121" bestFit="1" customWidth="1"/>
    <col min="5" max="5" width="13.5703125" style="56" bestFit="1" customWidth="1"/>
    <col min="6" max="6" width="13.140625" style="122" bestFit="1" customWidth="1"/>
    <col min="7" max="7" width="9.85546875" style="122" bestFit="1" customWidth="1"/>
    <col min="8" max="8" width="10.5703125" style="2" customWidth="1"/>
    <col min="9" max="10" width="10.5703125" style="16" customWidth="1"/>
    <col min="11" max="11" width="10.7109375" bestFit="1" customWidth="1"/>
    <col min="23" max="25" width="12.28515625" bestFit="1" customWidth="1"/>
    <col min="26" max="33" width="11.28515625" bestFit="1" customWidth="1"/>
  </cols>
  <sheetData>
    <row r="1" spans="1:45" ht="13.5" thickBot="1" x14ac:dyDescent="0.25">
      <c r="A1" s="52" t="s">
        <v>108</v>
      </c>
      <c r="B1" s="52" t="s">
        <v>6</v>
      </c>
      <c r="C1" s="55" t="s">
        <v>7</v>
      </c>
      <c r="D1" s="123" t="s">
        <v>111</v>
      </c>
      <c r="E1" s="55" t="s">
        <v>112</v>
      </c>
      <c r="F1" s="124" t="s">
        <v>113</v>
      </c>
      <c r="G1" s="124" t="s">
        <v>114</v>
      </c>
      <c r="H1" s="54" t="s">
        <v>109</v>
      </c>
      <c r="I1" s="53" t="s">
        <v>110</v>
      </c>
      <c r="J1" s="8" t="s">
        <v>2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6">
        <v>2007</v>
      </c>
      <c r="S1" s="6">
        <v>2008</v>
      </c>
      <c r="T1" s="6">
        <v>2009</v>
      </c>
      <c r="U1" s="6">
        <v>2010</v>
      </c>
      <c r="V1" s="3"/>
      <c r="W1" s="7">
        <v>2000</v>
      </c>
      <c r="X1" s="8">
        <v>2001</v>
      </c>
      <c r="Y1" s="8">
        <v>2002</v>
      </c>
      <c r="Z1" s="8">
        <v>2003</v>
      </c>
      <c r="AA1" s="8">
        <v>2004</v>
      </c>
      <c r="AB1" s="8">
        <v>2005</v>
      </c>
      <c r="AC1" s="8">
        <v>2006</v>
      </c>
      <c r="AD1" s="8">
        <v>2007</v>
      </c>
      <c r="AE1" s="8">
        <v>2008</v>
      </c>
      <c r="AF1" s="8">
        <v>2009</v>
      </c>
      <c r="AG1" s="9">
        <v>2010</v>
      </c>
      <c r="AI1" s="7">
        <v>2000</v>
      </c>
      <c r="AJ1" s="8">
        <v>2001</v>
      </c>
      <c r="AK1" s="8">
        <v>2002</v>
      </c>
      <c r="AL1" s="8">
        <v>2003</v>
      </c>
      <c r="AM1" s="8">
        <v>2004</v>
      </c>
      <c r="AN1" s="8">
        <v>2005</v>
      </c>
      <c r="AO1" s="8">
        <v>2006</v>
      </c>
      <c r="AP1" s="8">
        <v>2007</v>
      </c>
      <c r="AQ1" s="8">
        <v>2008</v>
      </c>
      <c r="AR1" s="8">
        <v>2009</v>
      </c>
      <c r="AS1" s="9">
        <v>2010</v>
      </c>
    </row>
    <row r="2" spans="1:45" x14ac:dyDescent="0.2">
      <c r="A2" s="101" t="s">
        <v>93</v>
      </c>
      <c r="B2" s="10" t="s">
        <v>32</v>
      </c>
      <c r="C2" s="60">
        <v>26490</v>
      </c>
      <c r="D2" s="121">
        <v>70000</v>
      </c>
      <c r="E2" s="57" t="s">
        <v>115</v>
      </c>
      <c r="F2" s="122">
        <v>4.07E-2</v>
      </c>
      <c r="G2" s="122">
        <v>9.2999999999999992E-3</v>
      </c>
      <c r="H2" s="72">
        <f t="shared" ref="H2:H33" si="0">+G2+F2</f>
        <v>0.05</v>
      </c>
      <c r="I2" s="63">
        <v>36100</v>
      </c>
      <c r="J2" s="64">
        <v>37925</v>
      </c>
      <c r="K2">
        <v>366</v>
      </c>
      <c r="L2">
        <v>365</v>
      </c>
      <c r="M2">
        <v>365</v>
      </c>
      <c r="N2">
        <v>304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30">
        <f t="shared" ref="W2:W41" si="1">+K2*$D2</f>
        <v>25620000</v>
      </c>
      <c r="X2" s="30">
        <f t="shared" ref="X2:AG2" si="2">+L2*$D$2</f>
        <v>25550000</v>
      </c>
      <c r="Y2" s="30">
        <f t="shared" si="2"/>
        <v>25550000</v>
      </c>
      <c r="Z2" s="30">
        <f t="shared" si="2"/>
        <v>21280000</v>
      </c>
      <c r="AA2" s="30">
        <f t="shared" si="2"/>
        <v>0</v>
      </c>
      <c r="AB2" s="30">
        <f t="shared" si="2"/>
        <v>0</v>
      </c>
      <c r="AC2" s="30">
        <f t="shared" si="2"/>
        <v>0</v>
      </c>
      <c r="AD2" s="30">
        <f t="shared" si="2"/>
        <v>0</v>
      </c>
      <c r="AE2" s="30">
        <f t="shared" si="2"/>
        <v>0</v>
      </c>
      <c r="AF2" s="30">
        <f t="shared" si="2"/>
        <v>0</v>
      </c>
      <c r="AG2" s="30">
        <f t="shared" si="2"/>
        <v>0</v>
      </c>
    </row>
    <row r="3" spans="1:45" x14ac:dyDescent="0.2">
      <c r="A3" s="80" t="s">
        <v>93</v>
      </c>
      <c r="B3" s="42" t="s">
        <v>32</v>
      </c>
      <c r="C3" s="60">
        <v>27377</v>
      </c>
      <c r="D3" s="76">
        <v>10000</v>
      </c>
      <c r="E3" s="57" t="s">
        <v>115</v>
      </c>
      <c r="F3" s="67">
        <v>4.07E-2</v>
      </c>
      <c r="G3" s="67">
        <v>9.2999999999999992E-3</v>
      </c>
      <c r="H3" s="72">
        <f t="shared" si="0"/>
        <v>0.05</v>
      </c>
      <c r="I3" s="46">
        <v>36951</v>
      </c>
      <c r="J3" s="64">
        <v>37315</v>
      </c>
      <c r="K3">
        <v>0</v>
      </c>
      <c r="L3">
        <v>306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30">
        <f t="shared" si="1"/>
        <v>0</v>
      </c>
      <c r="X3" s="30">
        <f t="shared" ref="X3:X41" si="3">+L3*$D3</f>
        <v>3060000</v>
      </c>
      <c r="Y3" s="30">
        <f t="shared" ref="Y3:Y41" si="4">+M3*$D3</f>
        <v>590000</v>
      </c>
      <c r="Z3" s="30">
        <f t="shared" ref="Z3:Z41" si="5">+N3*$D3</f>
        <v>0</v>
      </c>
      <c r="AA3" s="30">
        <f t="shared" ref="AA3:AA41" si="6">+O3*$D3</f>
        <v>0</v>
      </c>
      <c r="AB3" s="30">
        <f t="shared" ref="AB3:AB41" si="7">+P3*$D3</f>
        <v>0</v>
      </c>
      <c r="AC3" s="30">
        <f t="shared" ref="AC3:AC41" si="8">+Q3*$D3</f>
        <v>0</v>
      </c>
      <c r="AD3" s="30">
        <f t="shared" ref="AD3:AD41" si="9">+R3*$D3</f>
        <v>0</v>
      </c>
      <c r="AE3" s="30">
        <f t="shared" ref="AE3:AE41" si="10">+S3*$D3</f>
        <v>0</v>
      </c>
      <c r="AF3" s="30">
        <f t="shared" ref="AF3:AF41" si="11">+T3*$D3</f>
        <v>0</v>
      </c>
      <c r="AG3" s="30">
        <f t="shared" ref="AG3:AG41" si="12">+U3*$D3</f>
        <v>0</v>
      </c>
    </row>
    <row r="4" spans="1:45" x14ac:dyDescent="0.2">
      <c r="A4" s="80" t="s">
        <v>93</v>
      </c>
      <c r="B4" s="42" t="s">
        <v>32</v>
      </c>
      <c r="C4" s="60" t="s">
        <v>85</v>
      </c>
      <c r="D4" s="76">
        <v>40000</v>
      </c>
      <c r="E4" s="57" t="s">
        <v>115</v>
      </c>
      <c r="F4" s="67">
        <v>5.0700000000000002E-2</v>
      </c>
      <c r="G4" s="67">
        <v>9.2999999999999992E-3</v>
      </c>
      <c r="H4" s="72">
        <f t="shared" si="0"/>
        <v>0.06</v>
      </c>
      <c r="I4" s="46">
        <v>36100</v>
      </c>
      <c r="J4" s="64">
        <v>37925</v>
      </c>
      <c r="K4">
        <v>366</v>
      </c>
      <c r="L4">
        <v>365</v>
      </c>
      <c r="M4">
        <v>365</v>
      </c>
      <c r="N4">
        <v>304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30">
        <f t="shared" si="1"/>
        <v>14640000</v>
      </c>
      <c r="X4" s="30">
        <f t="shared" si="3"/>
        <v>14600000</v>
      </c>
      <c r="Y4" s="30">
        <f t="shared" si="4"/>
        <v>14600000</v>
      </c>
      <c r="Z4" s="30">
        <f t="shared" si="5"/>
        <v>12160000</v>
      </c>
      <c r="AA4" s="30">
        <f t="shared" si="6"/>
        <v>0</v>
      </c>
      <c r="AB4" s="30">
        <f t="shared" si="7"/>
        <v>0</v>
      </c>
      <c r="AC4" s="30">
        <f t="shared" si="8"/>
        <v>0</v>
      </c>
      <c r="AD4" s="30">
        <f t="shared" si="9"/>
        <v>0</v>
      </c>
      <c r="AE4" s="30">
        <f t="shared" si="10"/>
        <v>0</v>
      </c>
      <c r="AF4" s="30">
        <f t="shared" si="11"/>
        <v>0</v>
      </c>
      <c r="AG4" s="30">
        <f t="shared" si="12"/>
        <v>0</v>
      </c>
    </row>
    <row r="5" spans="1:45" x14ac:dyDescent="0.2">
      <c r="A5" s="101" t="s">
        <v>93</v>
      </c>
      <c r="B5" s="10" t="s">
        <v>31</v>
      </c>
      <c r="C5" s="60">
        <v>26683</v>
      </c>
      <c r="D5" s="121">
        <v>8000</v>
      </c>
      <c r="E5" s="56" t="s">
        <v>118</v>
      </c>
      <c r="F5" s="122">
        <v>0.10199999999999999</v>
      </c>
      <c r="G5" s="122">
        <v>1.1000000000000001E-3</v>
      </c>
      <c r="H5" s="72">
        <f t="shared" si="0"/>
        <v>0.1031</v>
      </c>
      <c r="I5" s="63">
        <v>36220</v>
      </c>
      <c r="J5" s="64">
        <v>37346</v>
      </c>
      <c r="K5">
        <v>366</v>
      </c>
      <c r="L5">
        <v>365</v>
      </c>
      <c r="M5">
        <v>90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30">
        <f t="shared" si="1"/>
        <v>2928000</v>
      </c>
      <c r="X5" s="30">
        <f t="shared" si="3"/>
        <v>2920000</v>
      </c>
      <c r="Y5" s="30">
        <f t="shared" si="4"/>
        <v>720000</v>
      </c>
      <c r="Z5" s="30">
        <f t="shared" si="5"/>
        <v>0</v>
      </c>
      <c r="AA5" s="30">
        <f t="shared" si="6"/>
        <v>0</v>
      </c>
      <c r="AB5" s="30">
        <f t="shared" si="7"/>
        <v>0</v>
      </c>
      <c r="AC5" s="30">
        <f t="shared" si="8"/>
        <v>0</v>
      </c>
      <c r="AD5" s="30">
        <f t="shared" si="9"/>
        <v>0</v>
      </c>
      <c r="AE5" s="30">
        <f t="shared" si="10"/>
        <v>0</v>
      </c>
      <c r="AF5" s="30">
        <f t="shared" si="11"/>
        <v>0</v>
      </c>
      <c r="AG5" s="30">
        <f t="shared" si="12"/>
        <v>0</v>
      </c>
    </row>
    <row r="6" spans="1:45" x14ac:dyDescent="0.2">
      <c r="A6" s="101" t="s">
        <v>93</v>
      </c>
      <c r="B6" s="10" t="s">
        <v>31</v>
      </c>
      <c r="C6" s="60">
        <v>27334</v>
      </c>
      <c r="D6" s="121">
        <v>14000</v>
      </c>
      <c r="E6" s="57" t="s">
        <v>115</v>
      </c>
      <c r="F6" s="122">
        <v>4.07E-2</v>
      </c>
      <c r="G6" s="122">
        <v>9.2999999999999992E-3</v>
      </c>
      <c r="H6" s="72">
        <f t="shared" si="0"/>
        <v>0.05</v>
      </c>
      <c r="I6" s="63">
        <v>36982</v>
      </c>
      <c r="J6" s="64">
        <v>37195</v>
      </c>
      <c r="K6">
        <v>0</v>
      </c>
      <c r="L6">
        <v>214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 s="30">
        <f t="shared" si="1"/>
        <v>0</v>
      </c>
      <c r="X6" s="30">
        <f t="shared" si="3"/>
        <v>2996000</v>
      </c>
      <c r="Y6" s="30">
        <f t="shared" si="4"/>
        <v>0</v>
      </c>
      <c r="Z6" s="30">
        <f t="shared" si="5"/>
        <v>0</v>
      </c>
      <c r="AA6" s="30">
        <f t="shared" si="6"/>
        <v>0</v>
      </c>
      <c r="AB6" s="30">
        <f t="shared" si="7"/>
        <v>0</v>
      </c>
      <c r="AC6" s="30">
        <f t="shared" si="8"/>
        <v>0</v>
      </c>
      <c r="AD6" s="30">
        <f t="shared" si="9"/>
        <v>0</v>
      </c>
      <c r="AE6" s="30">
        <f t="shared" si="10"/>
        <v>0</v>
      </c>
      <c r="AF6" s="30">
        <f t="shared" si="11"/>
        <v>0</v>
      </c>
      <c r="AG6" s="30">
        <f t="shared" si="12"/>
        <v>0</v>
      </c>
    </row>
    <row r="7" spans="1:45" x14ac:dyDescent="0.2">
      <c r="A7" s="80" t="s">
        <v>93</v>
      </c>
      <c r="B7" s="42" t="s">
        <v>89</v>
      </c>
      <c r="C7" s="60">
        <v>27495</v>
      </c>
      <c r="D7" s="76">
        <v>50000</v>
      </c>
      <c r="E7" s="57" t="s">
        <v>116</v>
      </c>
      <c r="F7" s="67">
        <v>3.2500000000000001E-2</v>
      </c>
      <c r="G7" s="67"/>
      <c r="H7" s="72">
        <f t="shared" si="0"/>
        <v>3.2500000000000001E-2</v>
      </c>
      <c r="I7" s="46">
        <v>36951</v>
      </c>
      <c r="J7" s="64">
        <v>37711</v>
      </c>
      <c r="K7">
        <v>0</v>
      </c>
      <c r="L7">
        <v>306</v>
      </c>
      <c r="M7">
        <v>365</v>
      </c>
      <c r="N7">
        <v>90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 s="30">
        <f t="shared" si="1"/>
        <v>0</v>
      </c>
      <c r="X7" s="30">
        <f t="shared" si="3"/>
        <v>15300000</v>
      </c>
      <c r="Y7" s="30">
        <f t="shared" si="4"/>
        <v>18250000</v>
      </c>
      <c r="Z7" s="30">
        <f t="shared" si="5"/>
        <v>4500000</v>
      </c>
      <c r="AA7" s="30">
        <f t="shared" si="6"/>
        <v>0</v>
      </c>
      <c r="AB7" s="30">
        <f t="shared" si="7"/>
        <v>0</v>
      </c>
      <c r="AC7" s="30">
        <f t="shared" si="8"/>
        <v>0</v>
      </c>
      <c r="AD7" s="30">
        <f t="shared" si="9"/>
        <v>0</v>
      </c>
      <c r="AE7" s="30">
        <f t="shared" si="10"/>
        <v>0</v>
      </c>
      <c r="AF7" s="30">
        <f t="shared" si="11"/>
        <v>0</v>
      </c>
      <c r="AG7" s="30">
        <f t="shared" si="12"/>
        <v>0</v>
      </c>
    </row>
    <row r="8" spans="1:45" x14ac:dyDescent="0.2">
      <c r="A8" s="80" t="s">
        <v>93</v>
      </c>
      <c r="B8" s="42" t="s">
        <v>90</v>
      </c>
      <c r="C8" s="60">
        <v>27600</v>
      </c>
      <c r="D8" s="76">
        <v>2500</v>
      </c>
      <c r="E8" s="57" t="s">
        <v>115</v>
      </c>
      <c r="F8" s="67">
        <v>8.0699999999999994E-2</v>
      </c>
      <c r="G8" s="67">
        <v>9.2999999999999992E-3</v>
      </c>
      <c r="H8" s="72">
        <f t="shared" si="0"/>
        <v>0.09</v>
      </c>
      <c r="I8" s="46">
        <v>37043</v>
      </c>
      <c r="J8" s="64">
        <v>37407</v>
      </c>
      <c r="K8">
        <v>0</v>
      </c>
      <c r="L8">
        <v>214</v>
      </c>
      <c r="M8">
        <v>151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 s="30">
        <f t="shared" si="1"/>
        <v>0</v>
      </c>
      <c r="X8" s="30">
        <f t="shared" si="3"/>
        <v>535000</v>
      </c>
      <c r="Y8" s="30">
        <f t="shared" si="4"/>
        <v>377500</v>
      </c>
      <c r="Z8" s="30">
        <f t="shared" si="5"/>
        <v>0</v>
      </c>
      <c r="AA8" s="30">
        <f t="shared" si="6"/>
        <v>0</v>
      </c>
      <c r="AB8" s="30">
        <f t="shared" si="7"/>
        <v>0</v>
      </c>
      <c r="AC8" s="30">
        <f t="shared" si="8"/>
        <v>0</v>
      </c>
      <c r="AD8" s="30">
        <f t="shared" si="9"/>
        <v>0</v>
      </c>
      <c r="AE8" s="30">
        <f t="shared" si="10"/>
        <v>0</v>
      </c>
      <c r="AF8" s="30">
        <f t="shared" si="11"/>
        <v>0</v>
      </c>
      <c r="AG8" s="30">
        <f t="shared" si="12"/>
        <v>0</v>
      </c>
    </row>
    <row r="9" spans="1:45" x14ac:dyDescent="0.2">
      <c r="A9" s="104" t="s">
        <v>93</v>
      </c>
      <c r="B9" s="42" t="s">
        <v>16</v>
      </c>
      <c r="C9" s="60">
        <v>25025</v>
      </c>
      <c r="D9" s="76">
        <v>80000</v>
      </c>
      <c r="E9" s="57" t="s">
        <v>115</v>
      </c>
      <c r="F9" s="67">
        <f>0.1346-0.102</f>
        <v>3.2600000000000004E-2</v>
      </c>
      <c r="G9" s="67">
        <f>0.0104-0.0011</f>
        <v>9.2999999999999992E-3</v>
      </c>
      <c r="H9" s="72">
        <f t="shared" si="0"/>
        <v>4.1900000000000007E-2</v>
      </c>
      <c r="J9" s="64">
        <v>39051</v>
      </c>
      <c r="K9">
        <v>366</v>
      </c>
      <c r="L9">
        <v>365</v>
      </c>
      <c r="M9">
        <v>365</v>
      </c>
      <c r="N9">
        <v>365</v>
      </c>
      <c r="O9">
        <v>366</v>
      </c>
      <c r="P9">
        <v>365</v>
      </c>
      <c r="Q9">
        <v>334</v>
      </c>
      <c r="R9">
        <v>0</v>
      </c>
      <c r="S9">
        <v>0</v>
      </c>
      <c r="T9">
        <v>0</v>
      </c>
      <c r="U9">
        <v>0</v>
      </c>
      <c r="W9" s="30">
        <f t="shared" si="1"/>
        <v>29280000</v>
      </c>
      <c r="X9" s="30">
        <f t="shared" si="3"/>
        <v>29200000</v>
      </c>
      <c r="Y9" s="30">
        <f t="shared" si="4"/>
        <v>29200000</v>
      </c>
      <c r="Z9" s="30">
        <f t="shared" si="5"/>
        <v>29200000</v>
      </c>
      <c r="AA9" s="30">
        <f t="shared" si="6"/>
        <v>29280000</v>
      </c>
      <c r="AB9" s="30">
        <f t="shared" si="7"/>
        <v>29200000</v>
      </c>
      <c r="AC9" s="30">
        <f t="shared" si="8"/>
        <v>26720000</v>
      </c>
      <c r="AD9" s="30">
        <f t="shared" si="9"/>
        <v>0</v>
      </c>
      <c r="AE9" s="30">
        <f t="shared" si="10"/>
        <v>0</v>
      </c>
      <c r="AF9" s="30">
        <f t="shared" si="11"/>
        <v>0</v>
      </c>
      <c r="AG9" s="30">
        <f t="shared" si="12"/>
        <v>0</v>
      </c>
    </row>
    <row r="10" spans="1:45" x14ac:dyDescent="0.2">
      <c r="A10" s="80" t="s">
        <v>93</v>
      </c>
      <c r="B10" s="41" t="s">
        <v>16</v>
      </c>
      <c r="C10" s="60">
        <v>25031</v>
      </c>
      <c r="D10" s="76">
        <v>0</v>
      </c>
      <c r="E10" s="57" t="s">
        <v>115</v>
      </c>
      <c r="F10" s="67">
        <v>0.10199999999999999</v>
      </c>
      <c r="G10" s="67">
        <v>1.1000000000000001E-3</v>
      </c>
      <c r="H10" s="72">
        <f t="shared" si="0"/>
        <v>0.1031</v>
      </c>
      <c r="I10" s="46">
        <v>35400</v>
      </c>
      <c r="J10" s="64">
        <v>39051</v>
      </c>
      <c r="K10">
        <v>366</v>
      </c>
      <c r="L10">
        <v>365</v>
      </c>
      <c r="M10">
        <v>365</v>
      </c>
      <c r="N10">
        <v>365</v>
      </c>
      <c r="O10">
        <v>366</v>
      </c>
      <c r="P10">
        <v>365</v>
      </c>
      <c r="Q10">
        <v>334</v>
      </c>
      <c r="R10">
        <v>0</v>
      </c>
      <c r="S10">
        <v>0</v>
      </c>
      <c r="T10">
        <v>0</v>
      </c>
      <c r="U10">
        <v>0</v>
      </c>
      <c r="W10" s="30">
        <f t="shared" si="1"/>
        <v>0</v>
      </c>
      <c r="X10" s="30">
        <f t="shared" si="3"/>
        <v>0</v>
      </c>
      <c r="Y10" s="30">
        <f t="shared" si="4"/>
        <v>0</v>
      </c>
      <c r="Z10" s="30">
        <f t="shared" si="5"/>
        <v>0</v>
      </c>
      <c r="AA10" s="30">
        <f t="shared" si="6"/>
        <v>0</v>
      </c>
      <c r="AB10" s="30">
        <f t="shared" si="7"/>
        <v>0</v>
      </c>
      <c r="AC10" s="30">
        <f t="shared" si="8"/>
        <v>0</v>
      </c>
      <c r="AD10" s="30">
        <f t="shared" si="9"/>
        <v>0</v>
      </c>
      <c r="AE10" s="30">
        <f t="shared" si="10"/>
        <v>0</v>
      </c>
      <c r="AF10" s="30">
        <f t="shared" si="11"/>
        <v>0</v>
      </c>
      <c r="AG10" s="30">
        <f t="shared" si="12"/>
        <v>0</v>
      </c>
    </row>
    <row r="11" spans="1:45" x14ac:dyDescent="0.2">
      <c r="A11" s="101" t="s">
        <v>93</v>
      </c>
      <c r="B11" s="10" t="s">
        <v>25</v>
      </c>
      <c r="C11" s="60">
        <v>25838</v>
      </c>
      <c r="D11" s="121">
        <v>10475</v>
      </c>
      <c r="E11" s="57" t="s">
        <v>115</v>
      </c>
      <c r="F11" s="122">
        <v>1.0699999999999999E-2</v>
      </c>
      <c r="G11" s="122">
        <v>9.2999999999999992E-3</v>
      </c>
      <c r="H11" s="72">
        <f t="shared" si="0"/>
        <v>1.9999999999999997E-2</v>
      </c>
      <c r="I11" s="63"/>
      <c r="J11" s="64">
        <v>36556</v>
      </c>
      <c r="K11">
        <v>31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 t="shared" si="1"/>
        <v>324725</v>
      </c>
      <c r="X11" s="30">
        <f t="shared" si="3"/>
        <v>0</v>
      </c>
      <c r="Y11" s="30">
        <f t="shared" si="4"/>
        <v>0</v>
      </c>
      <c r="Z11" s="30">
        <f t="shared" si="5"/>
        <v>0</v>
      </c>
      <c r="AA11" s="30">
        <f t="shared" si="6"/>
        <v>0</v>
      </c>
      <c r="AB11" s="30">
        <f t="shared" si="7"/>
        <v>0</v>
      </c>
      <c r="AC11" s="30">
        <f t="shared" si="8"/>
        <v>0</v>
      </c>
      <c r="AD11" s="30">
        <f t="shared" si="9"/>
        <v>0</v>
      </c>
      <c r="AE11" s="30">
        <f t="shared" si="10"/>
        <v>0</v>
      </c>
      <c r="AF11" s="30">
        <f t="shared" si="11"/>
        <v>0</v>
      </c>
      <c r="AG11" s="30">
        <f t="shared" si="12"/>
        <v>0</v>
      </c>
    </row>
    <row r="12" spans="1:45" x14ac:dyDescent="0.2">
      <c r="A12" s="101" t="s">
        <v>93</v>
      </c>
      <c r="B12" s="10" t="s">
        <v>25</v>
      </c>
      <c r="C12" s="60">
        <v>26758</v>
      </c>
      <c r="D12" s="121">
        <v>40000</v>
      </c>
      <c r="E12" s="57" t="s">
        <v>115</v>
      </c>
      <c r="F12" s="122">
        <v>1.0699999999999999E-2</v>
      </c>
      <c r="G12" s="122">
        <v>9.2999999999999992E-3</v>
      </c>
      <c r="H12" s="72">
        <f t="shared" si="0"/>
        <v>1.9999999999999997E-2</v>
      </c>
      <c r="I12" s="63">
        <v>36647</v>
      </c>
      <c r="J12" s="64">
        <v>38472</v>
      </c>
      <c r="K12">
        <v>245</v>
      </c>
      <c r="L12">
        <v>365</v>
      </c>
      <c r="M12">
        <v>365</v>
      </c>
      <c r="N12">
        <v>365</v>
      </c>
      <c r="O12">
        <v>366</v>
      </c>
      <c r="P12">
        <v>120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si="1"/>
        <v>9800000</v>
      </c>
      <c r="X12" s="30">
        <f t="shared" si="3"/>
        <v>14600000</v>
      </c>
      <c r="Y12" s="30">
        <f t="shared" si="4"/>
        <v>14600000</v>
      </c>
      <c r="Z12" s="30">
        <f t="shared" si="5"/>
        <v>14600000</v>
      </c>
      <c r="AA12" s="30">
        <f t="shared" si="6"/>
        <v>14640000</v>
      </c>
      <c r="AB12" s="30">
        <f t="shared" si="7"/>
        <v>4800000</v>
      </c>
      <c r="AC12" s="30">
        <f t="shared" si="8"/>
        <v>0</v>
      </c>
      <c r="AD12" s="30">
        <f t="shared" si="9"/>
        <v>0</v>
      </c>
      <c r="AE12" s="30">
        <f t="shared" si="10"/>
        <v>0</v>
      </c>
      <c r="AF12" s="30">
        <f t="shared" si="11"/>
        <v>0</v>
      </c>
      <c r="AG12" s="30">
        <f t="shared" si="12"/>
        <v>0</v>
      </c>
    </row>
    <row r="13" spans="1:45" x14ac:dyDescent="0.2">
      <c r="A13" s="80" t="s">
        <v>93</v>
      </c>
      <c r="B13" s="10" t="s">
        <v>25</v>
      </c>
      <c r="C13" s="60">
        <v>27291</v>
      </c>
      <c r="D13" s="76">
        <v>20000</v>
      </c>
      <c r="E13" s="57" t="s">
        <v>115</v>
      </c>
      <c r="F13" s="67">
        <v>1.0699999999999999E-2</v>
      </c>
      <c r="G13" s="67">
        <v>9.2999999999999992E-3</v>
      </c>
      <c r="H13" s="72">
        <f t="shared" si="0"/>
        <v>1.9999999999999997E-2</v>
      </c>
      <c r="I13" s="46">
        <v>36739</v>
      </c>
      <c r="J13" s="64">
        <v>37468</v>
      </c>
      <c r="K13">
        <v>153</v>
      </c>
      <c r="L13">
        <v>365</v>
      </c>
      <c r="M13">
        <v>212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1"/>
        <v>3060000</v>
      </c>
      <c r="X13" s="30">
        <f t="shared" si="3"/>
        <v>7300000</v>
      </c>
      <c r="Y13" s="30">
        <f t="shared" si="4"/>
        <v>4240000</v>
      </c>
      <c r="Z13" s="30">
        <f t="shared" si="5"/>
        <v>0</v>
      </c>
      <c r="AA13" s="30">
        <f t="shared" si="6"/>
        <v>0</v>
      </c>
      <c r="AB13" s="30">
        <f t="shared" si="7"/>
        <v>0</v>
      </c>
      <c r="AC13" s="30">
        <f t="shared" si="8"/>
        <v>0</v>
      </c>
      <c r="AD13" s="30">
        <f t="shared" si="9"/>
        <v>0</v>
      </c>
      <c r="AE13" s="30">
        <f t="shared" si="10"/>
        <v>0</v>
      </c>
      <c r="AF13" s="30">
        <f t="shared" si="11"/>
        <v>0</v>
      </c>
      <c r="AG13" s="30">
        <f t="shared" si="12"/>
        <v>0</v>
      </c>
    </row>
    <row r="14" spans="1:45" x14ac:dyDescent="0.2">
      <c r="A14" s="80" t="s">
        <v>93</v>
      </c>
      <c r="B14" s="42" t="s">
        <v>25</v>
      </c>
      <c r="C14" s="60">
        <v>27349</v>
      </c>
      <c r="D14" s="76">
        <v>20000</v>
      </c>
      <c r="E14" s="57" t="s">
        <v>115</v>
      </c>
      <c r="F14" s="67">
        <v>4.07E-2</v>
      </c>
      <c r="G14" s="67">
        <v>9.2999999999999992E-3</v>
      </c>
      <c r="H14" s="72">
        <f t="shared" si="0"/>
        <v>0.05</v>
      </c>
      <c r="I14" s="46">
        <v>36892</v>
      </c>
      <c r="J14" s="64">
        <v>38717</v>
      </c>
      <c r="K14">
        <v>0</v>
      </c>
      <c r="L14">
        <v>365</v>
      </c>
      <c r="M14">
        <v>365</v>
      </c>
      <c r="N14">
        <v>365</v>
      </c>
      <c r="O14">
        <v>366</v>
      </c>
      <c r="P14">
        <v>365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1"/>
        <v>0</v>
      </c>
      <c r="X14" s="30">
        <f t="shared" si="3"/>
        <v>7300000</v>
      </c>
      <c r="Y14" s="30">
        <f t="shared" si="4"/>
        <v>7300000</v>
      </c>
      <c r="Z14" s="30">
        <f t="shared" si="5"/>
        <v>7300000</v>
      </c>
      <c r="AA14" s="30">
        <f t="shared" si="6"/>
        <v>7320000</v>
      </c>
      <c r="AB14" s="30">
        <f t="shared" si="7"/>
        <v>7300000</v>
      </c>
      <c r="AC14" s="30">
        <f t="shared" si="8"/>
        <v>0</v>
      </c>
      <c r="AD14" s="30">
        <f t="shared" si="9"/>
        <v>0</v>
      </c>
      <c r="AE14" s="30">
        <f t="shared" si="10"/>
        <v>0</v>
      </c>
      <c r="AF14" s="30">
        <f t="shared" si="11"/>
        <v>0</v>
      </c>
      <c r="AG14" s="30">
        <f t="shared" si="12"/>
        <v>0</v>
      </c>
    </row>
    <row r="15" spans="1:45" x14ac:dyDescent="0.2">
      <c r="A15" s="80" t="s">
        <v>93</v>
      </c>
      <c r="B15" s="42" t="s">
        <v>25</v>
      </c>
      <c r="C15" s="60">
        <v>27579</v>
      </c>
      <c r="D15" s="76">
        <v>20000</v>
      </c>
      <c r="E15" s="57" t="s">
        <v>115</v>
      </c>
      <c r="F15" s="67">
        <v>5.0700000000000002E-2</v>
      </c>
      <c r="G15" s="67">
        <v>9.2999999999999992E-3</v>
      </c>
      <c r="H15" s="72">
        <f t="shared" si="0"/>
        <v>0.06</v>
      </c>
      <c r="I15" s="46">
        <v>37012</v>
      </c>
      <c r="J15" s="64">
        <v>37407</v>
      </c>
      <c r="K15">
        <v>0</v>
      </c>
      <c r="L15">
        <v>245</v>
      </c>
      <c r="M15">
        <v>151</v>
      </c>
      <c r="N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1"/>
        <v>0</v>
      </c>
      <c r="X15" s="30">
        <f t="shared" si="3"/>
        <v>4900000</v>
      </c>
      <c r="Y15" s="30">
        <f t="shared" si="4"/>
        <v>3020000</v>
      </c>
      <c r="Z15" s="30">
        <f t="shared" si="5"/>
        <v>0</v>
      </c>
      <c r="AA15" s="30">
        <f t="shared" si="6"/>
        <v>0</v>
      </c>
      <c r="AB15" s="30">
        <f t="shared" si="7"/>
        <v>0</v>
      </c>
      <c r="AC15" s="30">
        <f t="shared" si="8"/>
        <v>0</v>
      </c>
      <c r="AD15" s="30">
        <f t="shared" si="9"/>
        <v>0</v>
      </c>
      <c r="AE15" s="30">
        <f t="shared" si="10"/>
        <v>0</v>
      </c>
      <c r="AF15" s="30">
        <f t="shared" si="11"/>
        <v>0</v>
      </c>
      <c r="AG15" s="30">
        <f t="shared" si="12"/>
        <v>0</v>
      </c>
    </row>
    <row r="16" spans="1:45" x14ac:dyDescent="0.2">
      <c r="A16" s="80" t="s">
        <v>93</v>
      </c>
      <c r="B16" s="41" t="s">
        <v>83</v>
      </c>
      <c r="C16" s="60">
        <v>24754</v>
      </c>
      <c r="D16" s="76">
        <v>1000</v>
      </c>
      <c r="E16" s="57" t="s">
        <v>119</v>
      </c>
      <c r="F16" s="67">
        <v>9.0700000000000003E-2</v>
      </c>
      <c r="G16" s="67">
        <v>9.2999999999999992E-3</v>
      </c>
      <c r="H16" s="72">
        <f t="shared" si="0"/>
        <v>0.1</v>
      </c>
      <c r="I16" s="46" t="s">
        <v>92</v>
      </c>
      <c r="J16" s="64">
        <v>38472</v>
      </c>
      <c r="K16">
        <v>366</v>
      </c>
      <c r="L16">
        <v>365</v>
      </c>
      <c r="M16">
        <v>365</v>
      </c>
      <c r="N16">
        <v>365</v>
      </c>
      <c r="O16">
        <v>366</v>
      </c>
      <c r="P16">
        <v>120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1"/>
        <v>366000</v>
      </c>
      <c r="X16" s="30">
        <f t="shared" si="3"/>
        <v>365000</v>
      </c>
      <c r="Y16" s="30">
        <f t="shared" si="4"/>
        <v>365000</v>
      </c>
      <c r="Z16" s="30">
        <f t="shared" si="5"/>
        <v>365000</v>
      </c>
      <c r="AA16" s="30">
        <f t="shared" si="6"/>
        <v>366000</v>
      </c>
      <c r="AB16" s="30">
        <f t="shared" si="7"/>
        <v>120000</v>
      </c>
      <c r="AC16" s="30">
        <f t="shared" si="8"/>
        <v>0</v>
      </c>
      <c r="AD16" s="30">
        <f t="shared" si="9"/>
        <v>0</v>
      </c>
      <c r="AE16" s="30">
        <f t="shared" si="10"/>
        <v>0</v>
      </c>
      <c r="AF16" s="30">
        <f t="shared" si="11"/>
        <v>0</v>
      </c>
      <c r="AG16" s="30">
        <f t="shared" si="12"/>
        <v>0</v>
      </c>
    </row>
    <row r="17" spans="1:33" x14ac:dyDescent="0.2">
      <c r="A17" s="105" t="s">
        <v>93</v>
      </c>
      <c r="B17" s="42" t="s">
        <v>21</v>
      </c>
      <c r="C17" s="60">
        <v>24654</v>
      </c>
      <c r="D17" s="76">
        <v>8000</v>
      </c>
      <c r="E17" s="57" t="s">
        <v>115</v>
      </c>
      <c r="F17" s="67">
        <v>3.5000000000000003E-2</v>
      </c>
      <c r="G17" s="67">
        <v>9.2999999999999992E-3</v>
      </c>
      <c r="H17" s="72">
        <f t="shared" si="0"/>
        <v>4.4300000000000006E-2</v>
      </c>
      <c r="J17" s="64">
        <v>37256</v>
      </c>
      <c r="K17">
        <v>366</v>
      </c>
      <c r="L17">
        <v>365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si="1"/>
        <v>2928000</v>
      </c>
      <c r="X17" s="30">
        <f t="shared" si="3"/>
        <v>2920000</v>
      </c>
      <c r="Y17" s="30">
        <f t="shared" si="4"/>
        <v>0</v>
      </c>
      <c r="Z17" s="30">
        <f t="shared" si="5"/>
        <v>0</v>
      </c>
      <c r="AA17" s="30">
        <f t="shared" si="6"/>
        <v>0</v>
      </c>
      <c r="AB17" s="30">
        <f t="shared" si="7"/>
        <v>0</v>
      </c>
      <c r="AC17" s="30">
        <f t="shared" si="8"/>
        <v>0</v>
      </c>
      <c r="AD17" s="30">
        <f t="shared" si="9"/>
        <v>0</v>
      </c>
      <c r="AE17" s="30">
        <f t="shared" si="10"/>
        <v>0</v>
      </c>
      <c r="AF17" s="30">
        <f t="shared" si="11"/>
        <v>0</v>
      </c>
      <c r="AG17" s="30">
        <f t="shared" si="12"/>
        <v>0</v>
      </c>
    </row>
    <row r="18" spans="1:33" x14ac:dyDescent="0.2">
      <c r="A18" s="80" t="s">
        <v>93</v>
      </c>
      <c r="B18" s="41" t="s">
        <v>21</v>
      </c>
      <c r="C18" s="60">
        <v>26740</v>
      </c>
      <c r="D18" s="76">
        <v>8000</v>
      </c>
      <c r="E18" s="57" t="s">
        <v>115</v>
      </c>
      <c r="F18" s="67">
        <v>4.07E-2</v>
      </c>
      <c r="G18" s="67">
        <v>9.2999999999999992E-3</v>
      </c>
      <c r="H18" s="72">
        <f t="shared" si="0"/>
        <v>0.05</v>
      </c>
      <c r="I18" s="46">
        <v>36312</v>
      </c>
      <c r="J18" s="64">
        <v>39113</v>
      </c>
      <c r="K18">
        <v>366</v>
      </c>
      <c r="L18">
        <v>365</v>
      </c>
      <c r="M18">
        <v>365</v>
      </c>
      <c r="N18">
        <v>365</v>
      </c>
      <c r="O18">
        <v>366</v>
      </c>
      <c r="P18">
        <v>365</v>
      </c>
      <c r="Q18">
        <v>365</v>
      </c>
      <c r="R18">
        <v>31</v>
      </c>
      <c r="S18">
        <v>0</v>
      </c>
      <c r="T18">
        <v>0</v>
      </c>
      <c r="U18">
        <v>0</v>
      </c>
      <c r="W18" s="30">
        <f t="shared" si="1"/>
        <v>2928000</v>
      </c>
      <c r="X18" s="30">
        <f t="shared" si="3"/>
        <v>2920000</v>
      </c>
      <c r="Y18" s="30">
        <f t="shared" si="4"/>
        <v>2920000</v>
      </c>
      <c r="Z18" s="30">
        <f t="shared" si="5"/>
        <v>2920000</v>
      </c>
      <c r="AA18" s="30">
        <f t="shared" si="6"/>
        <v>2928000</v>
      </c>
      <c r="AB18" s="30">
        <f t="shared" si="7"/>
        <v>2920000</v>
      </c>
      <c r="AC18" s="30">
        <f t="shared" si="8"/>
        <v>2920000</v>
      </c>
      <c r="AD18" s="30">
        <f t="shared" si="9"/>
        <v>248000</v>
      </c>
      <c r="AE18" s="30">
        <f t="shared" si="10"/>
        <v>0</v>
      </c>
      <c r="AF18" s="30">
        <f t="shared" si="11"/>
        <v>0</v>
      </c>
      <c r="AG18" s="30">
        <f t="shared" si="12"/>
        <v>0</v>
      </c>
    </row>
    <row r="19" spans="1:33" x14ac:dyDescent="0.2">
      <c r="A19" s="105" t="s">
        <v>93</v>
      </c>
      <c r="B19" s="42" t="s">
        <v>94</v>
      </c>
      <c r="C19" s="60">
        <v>24568</v>
      </c>
      <c r="D19" s="76">
        <v>32000</v>
      </c>
      <c r="E19" s="57" t="s">
        <v>115</v>
      </c>
      <c r="F19" s="67">
        <v>3.5000000000000003E-2</v>
      </c>
      <c r="G19" s="67">
        <v>9.2999999999999992E-3</v>
      </c>
      <c r="H19" s="72">
        <f t="shared" si="0"/>
        <v>4.4300000000000006E-2</v>
      </c>
      <c r="J19" s="64">
        <v>37256</v>
      </c>
      <c r="K19">
        <v>366</v>
      </c>
      <c r="L19">
        <v>365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 s="30">
        <f t="shared" si="1"/>
        <v>11712000</v>
      </c>
      <c r="X19" s="30">
        <f t="shared" si="3"/>
        <v>11680000</v>
      </c>
      <c r="Y19" s="30">
        <f t="shared" si="4"/>
        <v>0</v>
      </c>
      <c r="Z19" s="30">
        <f t="shared" si="5"/>
        <v>0</v>
      </c>
      <c r="AA19" s="30">
        <f t="shared" si="6"/>
        <v>0</v>
      </c>
      <c r="AB19" s="30">
        <f t="shared" si="7"/>
        <v>0</v>
      </c>
      <c r="AC19" s="30">
        <f t="shared" si="8"/>
        <v>0</v>
      </c>
      <c r="AD19" s="30">
        <f t="shared" si="9"/>
        <v>0</v>
      </c>
      <c r="AE19" s="30">
        <f t="shared" si="10"/>
        <v>0</v>
      </c>
      <c r="AF19" s="30">
        <f t="shared" si="11"/>
        <v>0</v>
      </c>
      <c r="AG19" s="30">
        <f t="shared" si="12"/>
        <v>0</v>
      </c>
    </row>
    <row r="20" spans="1:33" x14ac:dyDescent="0.2">
      <c r="A20" s="101" t="s">
        <v>93</v>
      </c>
      <c r="B20" s="10" t="s">
        <v>27</v>
      </c>
      <c r="C20" s="60">
        <v>25847</v>
      </c>
      <c r="D20" s="121">
        <v>20000</v>
      </c>
      <c r="E20" s="57" t="s">
        <v>115</v>
      </c>
      <c r="F20" s="122">
        <v>4.07E-2</v>
      </c>
      <c r="G20" s="122">
        <v>9.2999999999999992E-3</v>
      </c>
      <c r="H20" s="72">
        <f t="shared" si="0"/>
        <v>0.05</v>
      </c>
      <c r="I20" s="63"/>
      <c r="J20" s="64">
        <v>36556</v>
      </c>
      <c r="K20">
        <v>31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30">
        <f t="shared" si="1"/>
        <v>620000</v>
      </c>
      <c r="X20" s="30">
        <f t="shared" si="3"/>
        <v>0</v>
      </c>
      <c r="Y20" s="30">
        <f t="shared" si="4"/>
        <v>0</v>
      </c>
      <c r="Z20" s="30">
        <f t="shared" si="5"/>
        <v>0</v>
      </c>
      <c r="AA20" s="30">
        <f t="shared" si="6"/>
        <v>0</v>
      </c>
      <c r="AB20" s="30">
        <f t="shared" si="7"/>
        <v>0</v>
      </c>
      <c r="AC20" s="30">
        <f t="shared" si="8"/>
        <v>0</v>
      </c>
      <c r="AD20" s="30">
        <f t="shared" si="9"/>
        <v>0</v>
      </c>
      <c r="AE20" s="30">
        <f t="shared" si="10"/>
        <v>0</v>
      </c>
      <c r="AF20" s="30">
        <f t="shared" si="11"/>
        <v>0</v>
      </c>
      <c r="AG20" s="30">
        <f t="shared" si="12"/>
        <v>0</v>
      </c>
    </row>
    <row r="21" spans="1:33" x14ac:dyDescent="0.2">
      <c r="A21" s="80" t="s">
        <v>93</v>
      </c>
      <c r="B21" s="42" t="s">
        <v>84</v>
      </c>
      <c r="C21" s="60">
        <v>25374</v>
      </c>
      <c r="D21" s="76">
        <v>23000</v>
      </c>
      <c r="E21" s="57" t="s">
        <v>119</v>
      </c>
      <c r="F21" s="67">
        <v>4.07E-2</v>
      </c>
      <c r="G21" s="67">
        <v>9.2999999999999992E-3</v>
      </c>
      <c r="H21" s="72">
        <f t="shared" si="0"/>
        <v>0.05</v>
      </c>
      <c r="I21" s="46">
        <v>35947</v>
      </c>
      <c r="J21" s="64">
        <v>37103</v>
      </c>
      <c r="K21">
        <v>366</v>
      </c>
      <c r="L21">
        <v>212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1"/>
        <v>8418000</v>
      </c>
      <c r="X21" s="30">
        <f t="shared" si="3"/>
        <v>4876000</v>
      </c>
      <c r="Y21" s="30">
        <f t="shared" si="4"/>
        <v>0</v>
      </c>
      <c r="Z21" s="30">
        <f t="shared" si="5"/>
        <v>0</v>
      </c>
      <c r="AA21" s="30">
        <f t="shared" si="6"/>
        <v>0</v>
      </c>
      <c r="AB21" s="30">
        <f t="shared" si="7"/>
        <v>0</v>
      </c>
      <c r="AC21" s="30">
        <f t="shared" si="8"/>
        <v>0</v>
      </c>
      <c r="AD21" s="30">
        <f t="shared" si="9"/>
        <v>0</v>
      </c>
      <c r="AE21" s="30">
        <f t="shared" si="10"/>
        <v>0</v>
      </c>
      <c r="AF21" s="30">
        <f t="shared" si="11"/>
        <v>0</v>
      </c>
      <c r="AG21" s="30">
        <f t="shared" si="12"/>
        <v>0</v>
      </c>
    </row>
    <row r="22" spans="1:33" x14ac:dyDescent="0.2">
      <c r="A22" s="101" t="s">
        <v>93</v>
      </c>
      <c r="B22" s="10" t="s">
        <v>107</v>
      </c>
      <c r="C22" s="60">
        <v>26635</v>
      </c>
      <c r="D22" s="121">
        <v>500</v>
      </c>
      <c r="E22" s="56" t="s">
        <v>118</v>
      </c>
      <c r="F22" s="122">
        <v>0.10199999999999999</v>
      </c>
      <c r="G22" s="122">
        <v>7.1000000000000004E-3</v>
      </c>
      <c r="H22" s="72">
        <f t="shared" si="0"/>
        <v>0.10909999999999999</v>
      </c>
      <c r="I22" s="63">
        <v>36192</v>
      </c>
      <c r="J22" s="64">
        <v>37256</v>
      </c>
      <c r="K22">
        <v>334</v>
      </c>
      <c r="L22">
        <v>365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1"/>
        <v>167000</v>
      </c>
      <c r="X22" s="30">
        <f t="shared" si="3"/>
        <v>182500</v>
      </c>
      <c r="Y22" s="30">
        <f t="shared" si="4"/>
        <v>0</v>
      </c>
      <c r="Z22" s="30">
        <f t="shared" si="5"/>
        <v>0</v>
      </c>
      <c r="AA22" s="30">
        <f t="shared" si="6"/>
        <v>0</v>
      </c>
      <c r="AB22" s="30">
        <f t="shared" si="7"/>
        <v>0</v>
      </c>
      <c r="AC22" s="30">
        <f t="shared" si="8"/>
        <v>0</v>
      </c>
      <c r="AD22" s="30">
        <f t="shared" si="9"/>
        <v>0</v>
      </c>
      <c r="AE22" s="30">
        <f t="shared" si="10"/>
        <v>0</v>
      </c>
      <c r="AF22" s="30">
        <f t="shared" si="11"/>
        <v>0</v>
      </c>
      <c r="AG22" s="30">
        <f t="shared" si="12"/>
        <v>0</v>
      </c>
    </row>
    <row r="23" spans="1:33" x14ac:dyDescent="0.2">
      <c r="A23" s="80" t="s">
        <v>93</v>
      </c>
      <c r="B23" s="41" t="s">
        <v>86</v>
      </c>
      <c r="C23" s="60">
        <v>27104</v>
      </c>
      <c r="D23" s="76">
        <v>14032</v>
      </c>
      <c r="E23" s="57" t="s">
        <v>115</v>
      </c>
      <c r="F23" s="67">
        <v>4.07E-2</v>
      </c>
      <c r="G23" s="67">
        <v>9.2999999999999992E-3</v>
      </c>
      <c r="H23" s="72">
        <f t="shared" si="0"/>
        <v>0.05</v>
      </c>
      <c r="I23" s="46">
        <v>36557</v>
      </c>
      <c r="J23" s="64">
        <v>38383</v>
      </c>
      <c r="K23">
        <v>335</v>
      </c>
      <c r="L23">
        <v>365</v>
      </c>
      <c r="M23">
        <v>365</v>
      </c>
      <c r="N23">
        <v>365</v>
      </c>
      <c r="O23">
        <v>366</v>
      </c>
      <c r="P23">
        <v>31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1"/>
        <v>4700720</v>
      </c>
      <c r="X23" s="30">
        <f t="shared" si="3"/>
        <v>5121680</v>
      </c>
      <c r="Y23" s="30">
        <f t="shared" si="4"/>
        <v>5121680</v>
      </c>
      <c r="Z23" s="30">
        <f t="shared" si="5"/>
        <v>5121680</v>
      </c>
      <c r="AA23" s="30">
        <f t="shared" si="6"/>
        <v>5135712</v>
      </c>
      <c r="AB23" s="30">
        <f t="shared" si="7"/>
        <v>434992</v>
      </c>
      <c r="AC23" s="30">
        <f t="shared" si="8"/>
        <v>0</v>
      </c>
      <c r="AD23" s="30">
        <f t="shared" si="9"/>
        <v>0</v>
      </c>
      <c r="AE23" s="30">
        <f t="shared" si="10"/>
        <v>0</v>
      </c>
      <c r="AF23" s="30">
        <f t="shared" si="11"/>
        <v>0</v>
      </c>
      <c r="AG23" s="30">
        <f t="shared" si="12"/>
        <v>0</v>
      </c>
    </row>
    <row r="24" spans="1:33" x14ac:dyDescent="0.2">
      <c r="A24" s="101" t="s">
        <v>93</v>
      </c>
      <c r="B24" s="10" t="s">
        <v>29</v>
      </c>
      <c r="C24" s="60">
        <v>26123</v>
      </c>
      <c r="D24" s="121">
        <v>2900</v>
      </c>
      <c r="E24" s="57" t="s">
        <v>115</v>
      </c>
      <c r="F24" s="122">
        <v>4.07E-2</v>
      </c>
      <c r="G24" s="122">
        <v>9.2999999999999992E-3</v>
      </c>
      <c r="H24" s="72">
        <f t="shared" si="0"/>
        <v>0.05</v>
      </c>
      <c r="I24" s="63"/>
      <c r="J24" s="64">
        <v>36616</v>
      </c>
      <c r="K24">
        <v>91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1"/>
        <v>263900</v>
      </c>
      <c r="X24" s="30">
        <f t="shared" si="3"/>
        <v>0</v>
      </c>
      <c r="Y24" s="30">
        <f t="shared" si="4"/>
        <v>0</v>
      </c>
      <c r="Z24" s="30">
        <f t="shared" si="5"/>
        <v>0</v>
      </c>
      <c r="AA24" s="30">
        <f t="shared" si="6"/>
        <v>0</v>
      </c>
      <c r="AB24" s="30">
        <f t="shared" si="7"/>
        <v>0</v>
      </c>
      <c r="AC24" s="30">
        <f t="shared" si="8"/>
        <v>0</v>
      </c>
      <c r="AD24" s="30">
        <f t="shared" si="9"/>
        <v>0</v>
      </c>
      <c r="AE24" s="30">
        <f t="shared" si="10"/>
        <v>0</v>
      </c>
      <c r="AF24" s="30">
        <f t="shared" si="11"/>
        <v>0</v>
      </c>
      <c r="AG24" s="30">
        <f t="shared" si="12"/>
        <v>0</v>
      </c>
    </row>
    <row r="25" spans="1:33" x14ac:dyDescent="0.2">
      <c r="A25" s="101" t="s">
        <v>93</v>
      </c>
      <c r="B25" s="10" t="s">
        <v>69</v>
      </c>
      <c r="C25" s="60">
        <v>27340</v>
      </c>
      <c r="D25" s="121">
        <v>20000</v>
      </c>
      <c r="E25" s="56" t="s">
        <v>118</v>
      </c>
      <c r="F25" s="122">
        <v>0.10199999999999999</v>
      </c>
      <c r="G25" s="122">
        <v>7.1000000000000004E-3</v>
      </c>
      <c r="H25" s="72">
        <f t="shared" si="0"/>
        <v>0.10909999999999999</v>
      </c>
      <c r="I25" s="63">
        <v>36923</v>
      </c>
      <c r="J25" s="64">
        <v>37287</v>
      </c>
      <c r="K25">
        <v>0</v>
      </c>
      <c r="L25">
        <v>334</v>
      </c>
      <c r="M25">
        <v>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1"/>
        <v>0</v>
      </c>
      <c r="X25" s="30">
        <f t="shared" si="3"/>
        <v>6680000</v>
      </c>
      <c r="Y25" s="30">
        <f t="shared" si="4"/>
        <v>620000</v>
      </c>
      <c r="Z25" s="30">
        <f t="shared" si="5"/>
        <v>0</v>
      </c>
      <c r="AA25" s="30">
        <f t="shared" si="6"/>
        <v>0</v>
      </c>
      <c r="AB25" s="30">
        <f t="shared" si="7"/>
        <v>0</v>
      </c>
      <c r="AC25" s="30">
        <f t="shared" si="8"/>
        <v>0</v>
      </c>
      <c r="AD25" s="30">
        <f t="shared" si="9"/>
        <v>0</v>
      </c>
      <c r="AE25" s="30">
        <f t="shared" si="10"/>
        <v>0</v>
      </c>
      <c r="AF25" s="30">
        <f t="shared" si="11"/>
        <v>0</v>
      </c>
      <c r="AG25" s="30">
        <f t="shared" si="12"/>
        <v>0</v>
      </c>
    </row>
    <row r="26" spans="1:33" x14ac:dyDescent="0.2">
      <c r="A26" s="101" t="s">
        <v>93</v>
      </c>
      <c r="B26" s="10" t="s">
        <v>26</v>
      </c>
      <c r="C26" s="60">
        <v>25841</v>
      </c>
      <c r="D26" s="121">
        <v>40000</v>
      </c>
      <c r="E26" s="56" t="s">
        <v>115</v>
      </c>
      <c r="F26" s="122">
        <v>4.07E-2</v>
      </c>
      <c r="G26" s="122">
        <v>9.2999999999999992E-3</v>
      </c>
      <c r="H26" s="72">
        <f t="shared" si="0"/>
        <v>0.05</v>
      </c>
      <c r="I26" s="63">
        <v>35827</v>
      </c>
      <c r="J26" s="64">
        <v>37560</v>
      </c>
      <c r="K26">
        <v>366</v>
      </c>
      <c r="L26">
        <v>365</v>
      </c>
      <c r="M26">
        <v>304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1"/>
        <v>14640000</v>
      </c>
      <c r="X26" s="30">
        <f t="shared" si="3"/>
        <v>14600000</v>
      </c>
      <c r="Y26" s="30">
        <f t="shared" si="4"/>
        <v>12160000</v>
      </c>
      <c r="Z26" s="30">
        <f t="shared" si="5"/>
        <v>0</v>
      </c>
      <c r="AA26" s="30">
        <f t="shared" si="6"/>
        <v>0</v>
      </c>
      <c r="AB26" s="30">
        <f t="shared" si="7"/>
        <v>0</v>
      </c>
      <c r="AC26" s="30">
        <f t="shared" si="8"/>
        <v>0</v>
      </c>
      <c r="AD26" s="30">
        <f t="shared" si="9"/>
        <v>0</v>
      </c>
      <c r="AE26" s="30">
        <f t="shared" si="10"/>
        <v>0</v>
      </c>
      <c r="AF26" s="30">
        <f t="shared" si="11"/>
        <v>0</v>
      </c>
      <c r="AG26" s="30">
        <f t="shared" si="12"/>
        <v>0</v>
      </c>
    </row>
    <row r="27" spans="1:33" x14ac:dyDescent="0.2">
      <c r="A27" s="101" t="s">
        <v>93</v>
      </c>
      <c r="B27" s="10" t="s">
        <v>26</v>
      </c>
      <c r="C27" s="60">
        <v>26511</v>
      </c>
      <c r="D27" s="121">
        <v>21000</v>
      </c>
      <c r="E27" s="56" t="s">
        <v>115</v>
      </c>
      <c r="F27" s="122">
        <v>4.07E-2</v>
      </c>
      <c r="G27" s="122">
        <v>9.2999999999999992E-3</v>
      </c>
      <c r="H27" s="72">
        <f t="shared" si="0"/>
        <v>0.05</v>
      </c>
      <c r="I27" s="63">
        <v>36100</v>
      </c>
      <c r="J27" s="64">
        <v>37560</v>
      </c>
      <c r="K27">
        <v>366</v>
      </c>
      <c r="L27">
        <v>365</v>
      </c>
      <c r="M27">
        <v>304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1"/>
        <v>7686000</v>
      </c>
      <c r="X27" s="30">
        <f t="shared" si="3"/>
        <v>7665000</v>
      </c>
      <c r="Y27" s="30">
        <f t="shared" si="4"/>
        <v>6384000</v>
      </c>
      <c r="Z27" s="30">
        <f t="shared" si="5"/>
        <v>0</v>
      </c>
      <c r="AA27" s="30">
        <f t="shared" si="6"/>
        <v>0</v>
      </c>
      <c r="AB27" s="30">
        <f t="shared" si="7"/>
        <v>0</v>
      </c>
      <c r="AC27" s="30">
        <f t="shared" si="8"/>
        <v>0</v>
      </c>
      <c r="AD27" s="30">
        <f t="shared" si="9"/>
        <v>0</v>
      </c>
      <c r="AE27" s="30">
        <f t="shared" si="10"/>
        <v>0</v>
      </c>
      <c r="AF27" s="30">
        <f t="shared" si="11"/>
        <v>0</v>
      </c>
      <c r="AG27" s="30">
        <f t="shared" si="12"/>
        <v>0</v>
      </c>
    </row>
    <row r="28" spans="1:33" x14ac:dyDescent="0.2">
      <c r="A28" s="80" t="s">
        <v>93</v>
      </c>
      <c r="B28" s="40" t="s">
        <v>80</v>
      </c>
      <c r="C28" s="60">
        <v>24194</v>
      </c>
      <c r="D28" s="78">
        <v>10000</v>
      </c>
      <c r="E28" s="58" t="s">
        <v>120</v>
      </c>
      <c r="F28" s="71">
        <v>0.1007</v>
      </c>
      <c r="G28" s="71">
        <v>9.2999999999999992E-3</v>
      </c>
      <c r="H28" s="72">
        <f t="shared" si="0"/>
        <v>0.11</v>
      </c>
      <c r="I28" s="45" t="s">
        <v>91</v>
      </c>
      <c r="J28" s="64">
        <v>37164</v>
      </c>
      <c r="K28">
        <v>366</v>
      </c>
      <c r="L28">
        <v>273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 s="30">
        <f t="shared" si="1"/>
        <v>3660000</v>
      </c>
      <c r="X28" s="30">
        <f t="shared" si="3"/>
        <v>2730000</v>
      </c>
      <c r="Y28" s="30">
        <f t="shared" si="4"/>
        <v>0</v>
      </c>
      <c r="Z28" s="30">
        <f t="shared" si="5"/>
        <v>0</v>
      </c>
      <c r="AA28" s="30">
        <f t="shared" si="6"/>
        <v>0</v>
      </c>
      <c r="AB28" s="30">
        <f t="shared" si="7"/>
        <v>0</v>
      </c>
      <c r="AC28" s="30">
        <f t="shared" si="8"/>
        <v>0</v>
      </c>
      <c r="AD28" s="30">
        <f t="shared" si="9"/>
        <v>0</v>
      </c>
      <c r="AE28" s="30">
        <f t="shared" si="10"/>
        <v>0</v>
      </c>
      <c r="AF28" s="30">
        <f t="shared" si="11"/>
        <v>0</v>
      </c>
      <c r="AG28" s="30">
        <f t="shared" si="12"/>
        <v>0</v>
      </c>
    </row>
    <row r="29" spans="1:33" x14ac:dyDescent="0.2">
      <c r="A29" s="101" t="s">
        <v>93</v>
      </c>
      <c r="B29" s="10" t="s">
        <v>67</v>
      </c>
      <c r="C29" s="60">
        <v>26819</v>
      </c>
      <c r="D29" s="121">
        <v>10000</v>
      </c>
      <c r="E29" s="58" t="s">
        <v>115</v>
      </c>
      <c r="F29" s="122">
        <v>4.07E-2</v>
      </c>
      <c r="G29" s="122">
        <v>9.2999999999999992E-3</v>
      </c>
      <c r="H29" s="72">
        <f t="shared" si="0"/>
        <v>0.05</v>
      </c>
      <c r="I29" s="63">
        <v>36647</v>
      </c>
      <c r="J29" s="64">
        <v>38472</v>
      </c>
      <c r="K29">
        <v>245</v>
      </c>
      <c r="L29">
        <v>365</v>
      </c>
      <c r="M29">
        <v>365</v>
      </c>
      <c r="N29">
        <v>365</v>
      </c>
      <c r="O29">
        <v>120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1"/>
        <v>2450000</v>
      </c>
      <c r="X29" s="30">
        <f t="shared" si="3"/>
        <v>3650000</v>
      </c>
      <c r="Y29" s="30">
        <f t="shared" si="4"/>
        <v>3650000</v>
      </c>
      <c r="Z29" s="30">
        <f t="shared" si="5"/>
        <v>3650000</v>
      </c>
      <c r="AA29" s="30">
        <f t="shared" si="6"/>
        <v>1200000</v>
      </c>
      <c r="AB29" s="30">
        <f t="shared" si="7"/>
        <v>0</v>
      </c>
      <c r="AC29" s="30">
        <f t="shared" si="8"/>
        <v>0</v>
      </c>
      <c r="AD29" s="30">
        <f t="shared" si="9"/>
        <v>0</v>
      </c>
      <c r="AE29" s="30">
        <f t="shared" si="10"/>
        <v>0</v>
      </c>
      <c r="AF29" s="30">
        <f t="shared" si="11"/>
        <v>0</v>
      </c>
      <c r="AG29" s="30">
        <f t="shared" si="12"/>
        <v>0</v>
      </c>
    </row>
    <row r="30" spans="1:33" x14ac:dyDescent="0.2">
      <c r="A30" s="80" t="s">
        <v>93</v>
      </c>
      <c r="B30" s="40" t="s">
        <v>82</v>
      </c>
      <c r="C30" s="60" t="s">
        <v>81</v>
      </c>
      <c r="D30" s="78">
        <v>35714</v>
      </c>
      <c r="E30" s="58" t="s">
        <v>115</v>
      </c>
      <c r="F30" s="71">
        <v>9.5699999999999993E-2</v>
      </c>
      <c r="G30" s="71">
        <v>9.2999999999999992E-3</v>
      </c>
      <c r="H30" s="72">
        <f t="shared" si="0"/>
        <v>0.105</v>
      </c>
      <c r="I30" s="45">
        <v>34851</v>
      </c>
      <c r="J30" s="64">
        <v>37407</v>
      </c>
      <c r="K30">
        <v>366</v>
      </c>
      <c r="L30">
        <v>365</v>
      </c>
      <c r="M30">
        <v>151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1"/>
        <v>13071324</v>
      </c>
      <c r="X30" s="30">
        <f t="shared" si="3"/>
        <v>13035610</v>
      </c>
      <c r="Y30" s="30">
        <f t="shared" si="4"/>
        <v>5392814</v>
      </c>
      <c r="Z30" s="30">
        <f t="shared" si="5"/>
        <v>0</v>
      </c>
      <c r="AA30" s="30">
        <f t="shared" si="6"/>
        <v>0</v>
      </c>
      <c r="AB30" s="30">
        <f t="shared" si="7"/>
        <v>0</v>
      </c>
      <c r="AC30" s="30">
        <f t="shared" si="8"/>
        <v>0</v>
      </c>
      <c r="AD30" s="30">
        <f t="shared" si="9"/>
        <v>0</v>
      </c>
      <c r="AE30" s="30">
        <f t="shared" si="10"/>
        <v>0</v>
      </c>
      <c r="AF30" s="30">
        <f t="shared" si="11"/>
        <v>0</v>
      </c>
      <c r="AG30" s="30">
        <f t="shared" si="12"/>
        <v>0</v>
      </c>
    </row>
    <row r="31" spans="1:33" x14ac:dyDescent="0.2">
      <c r="A31" s="101" t="s">
        <v>93</v>
      </c>
      <c r="B31" s="10" t="s">
        <v>49</v>
      </c>
      <c r="C31" s="60">
        <v>27293</v>
      </c>
      <c r="D31" s="121">
        <v>49000</v>
      </c>
      <c r="E31" s="57" t="s">
        <v>115</v>
      </c>
      <c r="F31" s="122">
        <v>0.10199999999999999</v>
      </c>
      <c r="G31" s="122">
        <v>7.1000000000000004E-3</v>
      </c>
      <c r="H31" s="72">
        <f t="shared" si="0"/>
        <v>0.10909999999999999</v>
      </c>
      <c r="I31" s="63">
        <v>36831</v>
      </c>
      <c r="J31" s="64">
        <v>37195</v>
      </c>
      <c r="K31">
        <v>61</v>
      </c>
      <c r="L31">
        <v>304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1"/>
        <v>2989000</v>
      </c>
      <c r="X31" s="30">
        <f t="shared" si="3"/>
        <v>14896000</v>
      </c>
      <c r="Y31" s="30">
        <f t="shared" si="4"/>
        <v>0</v>
      </c>
      <c r="Z31" s="30">
        <f t="shared" si="5"/>
        <v>0</v>
      </c>
      <c r="AA31" s="30">
        <f t="shared" si="6"/>
        <v>0</v>
      </c>
      <c r="AB31" s="30">
        <f t="shared" si="7"/>
        <v>0</v>
      </c>
      <c r="AC31" s="30">
        <f t="shared" si="8"/>
        <v>0</v>
      </c>
      <c r="AD31" s="30">
        <f t="shared" si="9"/>
        <v>0</v>
      </c>
      <c r="AE31" s="30">
        <f t="shared" si="10"/>
        <v>0</v>
      </c>
      <c r="AF31" s="30">
        <f t="shared" si="11"/>
        <v>0</v>
      </c>
      <c r="AG31" s="30">
        <f t="shared" si="12"/>
        <v>0</v>
      </c>
    </row>
    <row r="32" spans="1:33" x14ac:dyDescent="0.2">
      <c r="A32" s="101" t="s">
        <v>93</v>
      </c>
      <c r="B32" s="10" t="s">
        <v>49</v>
      </c>
      <c r="C32" s="60">
        <v>27352</v>
      </c>
      <c r="D32" s="121">
        <v>21500</v>
      </c>
      <c r="E32" s="56" t="s">
        <v>122</v>
      </c>
      <c r="F32" s="122">
        <v>4.07E-2</v>
      </c>
      <c r="G32" s="125">
        <v>9.2999999999999992E-3</v>
      </c>
      <c r="H32" s="72">
        <f t="shared" si="0"/>
        <v>0.05</v>
      </c>
      <c r="I32" s="63">
        <v>37196</v>
      </c>
      <c r="J32" s="64">
        <v>37560</v>
      </c>
      <c r="K32">
        <v>0</v>
      </c>
      <c r="L32">
        <v>61</v>
      </c>
      <c r="M32">
        <v>304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1"/>
        <v>0</v>
      </c>
      <c r="X32" s="30">
        <f t="shared" si="3"/>
        <v>1311500</v>
      </c>
      <c r="Y32" s="30">
        <f t="shared" si="4"/>
        <v>6536000</v>
      </c>
      <c r="Z32" s="30">
        <f t="shared" si="5"/>
        <v>0</v>
      </c>
      <c r="AA32" s="30">
        <f t="shared" si="6"/>
        <v>0</v>
      </c>
      <c r="AB32" s="30">
        <f t="shared" si="7"/>
        <v>0</v>
      </c>
      <c r="AC32" s="30">
        <f t="shared" si="8"/>
        <v>0</v>
      </c>
      <c r="AD32" s="30">
        <f t="shared" si="9"/>
        <v>0</v>
      </c>
      <c r="AE32" s="30">
        <f t="shared" si="10"/>
        <v>0</v>
      </c>
      <c r="AF32" s="30">
        <f t="shared" si="11"/>
        <v>0</v>
      </c>
      <c r="AG32" s="30">
        <f t="shared" si="12"/>
        <v>0</v>
      </c>
    </row>
    <row r="33" spans="1:33" x14ac:dyDescent="0.2">
      <c r="A33" s="101" t="s">
        <v>93</v>
      </c>
      <c r="B33" s="10" t="s">
        <v>33</v>
      </c>
      <c r="C33" s="60">
        <v>8255</v>
      </c>
      <c r="D33" s="121">
        <v>306000</v>
      </c>
      <c r="E33" s="56" t="s">
        <v>117</v>
      </c>
      <c r="F33" s="122">
        <v>0.10199999999999999</v>
      </c>
      <c r="G33" s="122">
        <v>7.1000000000000004E-3</v>
      </c>
      <c r="H33" s="72">
        <f t="shared" si="0"/>
        <v>0.10909999999999999</v>
      </c>
      <c r="I33" s="63">
        <v>32782</v>
      </c>
      <c r="J33" s="64">
        <v>38656</v>
      </c>
      <c r="K33">
        <v>366</v>
      </c>
      <c r="L33">
        <v>365</v>
      </c>
      <c r="M33">
        <v>365</v>
      </c>
      <c r="N33">
        <v>365</v>
      </c>
      <c r="O33">
        <v>366</v>
      </c>
      <c r="P33">
        <v>304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1"/>
        <v>111996000</v>
      </c>
      <c r="X33" s="30">
        <f t="shared" si="3"/>
        <v>111690000</v>
      </c>
      <c r="Y33" s="30">
        <f t="shared" si="4"/>
        <v>111690000</v>
      </c>
      <c r="Z33" s="30">
        <f t="shared" si="5"/>
        <v>111690000</v>
      </c>
      <c r="AA33" s="30">
        <f t="shared" si="6"/>
        <v>111996000</v>
      </c>
      <c r="AB33" s="30">
        <f t="shared" si="7"/>
        <v>93024000</v>
      </c>
      <c r="AC33" s="30">
        <f t="shared" si="8"/>
        <v>0</v>
      </c>
      <c r="AD33" s="30">
        <f t="shared" si="9"/>
        <v>0</v>
      </c>
      <c r="AE33" s="30">
        <f t="shared" si="10"/>
        <v>0</v>
      </c>
      <c r="AF33" s="30">
        <f t="shared" si="11"/>
        <v>0</v>
      </c>
      <c r="AG33" s="30">
        <f t="shared" si="12"/>
        <v>0</v>
      </c>
    </row>
    <row r="34" spans="1:33" x14ac:dyDescent="0.2">
      <c r="A34" s="101" t="s">
        <v>93</v>
      </c>
      <c r="B34" s="10" t="s">
        <v>68</v>
      </c>
      <c r="C34" s="60">
        <v>22037</v>
      </c>
      <c r="D34" s="121">
        <v>3000</v>
      </c>
      <c r="E34" s="57" t="s">
        <v>124</v>
      </c>
      <c r="F34" s="122">
        <v>0</v>
      </c>
      <c r="G34" s="125">
        <v>0</v>
      </c>
      <c r="H34" s="72">
        <v>0.05</v>
      </c>
      <c r="I34" s="63"/>
      <c r="J34" s="64"/>
      <c r="K34">
        <v>366</v>
      </c>
      <c r="L34">
        <v>365</v>
      </c>
      <c r="M34">
        <v>365</v>
      </c>
      <c r="N34">
        <v>365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1"/>
        <v>1098000</v>
      </c>
      <c r="X34" s="30">
        <f t="shared" si="3"/>
        <v>1095000</v>
      </c>
      <c r="Y34" s="30">
        <f t="shared" si="4"/>
        <v>1095000</v>
      </c>
      <c r="Z34" s="30">
        <f t="shared" si="5"/>
        <v>1095000</v>
      </c>
      <c r="AA34" s="30">
        <f t="shared" si="6"/>
        <v>0</v>
      </c>
      <c r="AB34" s="30">
        <f t="shared" si="7"/>
        <v>0</v>
      </c>
      <c r="AC34" s="30">
        <f t="shared" si="8"/>
        <v>0</v>
      </c>
      <c r="AD34" s="30">
        <f t="shared" si="9"/>
        <v>0</v>
      </c>
      <c r="AE34" s="30">
        <f t="shared" si="10"/>
        <v>0</v>
      </c>
      <c r="AF34" s="30">
        <f t="shared" si="11"/>
        <v>0</v>
      </c>
      <c r="AG34" s="30">
        <f t="shared" si="12"/>
        <v>0</v>
      </c>
    </row>
    <row r="35" spans="1:33" x14ac:dyDescent="0.2">
      <c r="A35" s="101" t="s">
        <v>93</v>
      </c>
      <c r="B35" s="10" t="s">
        <v>68</v>
      </c>
      <c r="C35" s="60">
        <v>27252</v>
      </c>
      <c r="D35" s="121">
        <v>14000</v>
      </c>
      <c r="E35" s="57" t="s">
        <v>115</v>
      </c>
      <c r="F35" s="122">
        <v>4.07E-2</v>
      </c>
      <c r="G35" s="122">
        <v>9.2999999999999992E-3</v>
      </c>
      <c r="H35" s="72">
        <f>+G35+F35</f>
        <v>0.05</v>
      </c>
      <c r="I35" s="63">
        <v>36831</v>
      </c>
      <c r="J35" s="64">
        <v>40482</v>
      </c>
      <c r="K35">
        <v>61</v>
      </c>
      <c r="L35">
        <v>365</v>
      </c>
      <c r="M35">
        <v>365</v>
      </c>
      <c r="N35">
        <v>365</v>
      </c>
      <c r="O35">
        <v>366</v>
      </c>
      <c r="P35">
        <v>365</v>
      </c>
      <c r="Q35">
        <v>365</v>
      </c>
      <c r="R35">
        <v>365</v>
      </c>
      <c r="S35">
        <v>366</v>
      </c>
      <c r="T35">
        <v>365</v>
      </c>
      <c r="U35">
        <v>304</v>
      </c>
      <c r="W35" s="30">
        <f t="shared" si="1"/>
        <v>854000</v>
      </c>
      <c r="X35" s="30">
        <f t="shared" si="3"/>
        <v>5110000</v>
      </c>
      <c r="Y35" s="30">
        <f t="shared" si="4"/>
        <v>5110000</v>
      </c>
      <c r="Z35" s="30">
        <f t="shared" si="5"/>
        <v>5110000</v>
      </c>
      <c r="AA35" s="30">
        <f t="shared" si="6"/>
        <v>5124000</v>
      </c>
      <c r="AB35" s="30">
        <f t="shared" si="7"/>
        <v>5110000</v>
      </c>
      <c r="AC35" s="30">
        <f t="shared" si="8"/>
        <v>5110000</v>
      </c>
      <c r="AD35" s="30">
        <f t="shared" si="9"/>
        <v>5110000</v>
      </c>
      <c r="AE35" s="30">
        <f t="shared" si="10"/>
        <v>5124000</v>
      </c>
      <c r="AF35" s="30">
        <f t="shared" si="11"/>
        <v>5110000</v>
      </c>
      <c r="AG35" s="30">
        <f t="shared" si="12"/>
        <v>4256000</v>
      </c>
    </row>
    <row r="36" spans="1:33" x14ac:dyDescent="0.2">
      <c r="A36" s="101" t="s">
        <v>93</v>
      </c>
      <c r="B36" s="10" t="s">
        <v>28</v>
      </c>
      <c r="C36" s="60">
        <v>25850</v>
      </c>
      <c r="D36" s="121">
        <v>30000</v>
      </c>
      <c r="E36" s="57" t="s">
        <v>115</v>
      </c>
      <c r="F36" s="122">
        <v>4.07E-2</v>
      </c>
      <c r="G36" s="122">
        <v>9.2999999999999992E-3</v>
      </c>
      <c r="H36" s="72">
        <f t="shared" ref="H36:H41" si="13">+G36+F36</f>
        <v>0.05</v>
      </c>
      <c r="I36" s="63"/>
      <c r="J36" s="64">
        <v>36556</v>
      </c>
      <c r="K36">
        <v>31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1"/>
        <v>930000</v>
      </c>
      <c r="X36" s="30">
        <f t="shared" si="3"/>
        <v>0</v>
      </c>
      <c r="Y36" s="30">
        <f t="shared" si="4"/>
        <v>0</v>
      </c>
      <c r="Z36" s="30">
        <f t="shared" si="5"/>
        <v>0</v>
      </c>
      <c r="AA36" s="30">
        <f t="shared" si="6"/>
        <v>0</v>
      </c>
      <c r="AB36" s="30">
        <f t="shared" si="7"/>
        <v>0</v>
      </c>
      <c r="AC36" s="30">
        <f t="shared" si="8"/>
        <v>0</v>
      </c>
      <c r="AD36" s="30">
        <f t="shared" si="9"/>
        <v>0</v>
      </c>
      <c r="AE36" s="30">
        <f t="shared" si="10"/>
        <v>0</v>
      </c>
      <c r="AF36" s="30">
        <f t="shared" si="11"/>
        <v>0</v>
      </c>
      <c r="AG36" s="30">
        <f t="shared" si="12"/>
        <v>0</v>
      </c>
    </row>
    <row r="37" spans="1:33" x14ac:dyDescent="0.2">
      <c r="A37" s="101" t="s">
        <v>93</v>
      </c>
      <c r="B37" s="10" t="s">
        <v>30</v>
      </c>
      <c r="C37" s="60">
        <v>26393</v>
      </c>
      <c r="D37" s="121">
        <v>30000</v>
      </c>
      <c r="E37" s="57" t="s">
        <v>115</v>
      </c>
      <c r="F37" s="122">
        <v>4.0739999999999998E-2</v>
      </c>
      <c r="G37" s="122">
        <v>9.2999999999999992E-3</v>
      </c>
      <c r="H37" s="72">
        <f t="shared" si="13"/>
        <v>5.0040000000000001E-2</v>
      </c>
      <c r="I37" s="63"/>
      <c r="J37" s="64">
        <v>36616</v>
      </c>
      <c r="K37">
        <v>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1"/>
        <v>2730000</v>
      </c>
      <c r="X37" s="30">
        <f t="shared" si="3"/>
        <v>0</v>
      </c>
      <c r="Y37" s="30">
        <f t="shared" si="4"/>
        <v>0</v>
      </c>
      <c r="Z37" s="30">
        <f t="shared" si="5"/>
        <v>0</v>
      </c>
      <c r="AA37" s="30">
        <f t="shared" si="6"/>
        <v>0</v>
      </c>
      <c r="AB37" s="30">
        <f t="shared" si="7"/>
        <v>0</v>
      </c>
      <c r="AC37" s="30">
        <f t="shared" si="8"/>
        <v>0</v>
      </c>
      <c r="AD37" s="30">
        <f t="shared" si="9"/>
        <v>0</v>
      </c>
      <c r="AE37" s="30">
        <f t="shared" si="10"/>
        <v>0</v>
      </c>
      <c r="AF37" s="30">
        <f t="shared" si="11"/>
        <v>0</v>
      </c>
      <c r="AG37" s="30">
        <f t="shared" si="12"/>
        <v>0</v>
      </c>
    </row>
    <row r="38" spans="1:33" x14ac:dyDescent="0.2">
      <c r="A38" s="80" t="s">
        <v>93</v>
      </c>
      <c r="B38" s="41" t="s">
        <v>30</v>
      </c>
      <c r="C38" s="60">
        <v>27161</v>
      </c>
      <c r="D38" s="76">
        <v>400000</v>
      </c>
      <c r="E38" s="57" t="s">
        <v>116</v>
      </c>
      <c r="F38" s="67">
        <v>7.4999999999999997E-3</v>
      </c>
      <c r="G38" s="67">
        <v>9.2999999999999992E-3</v>
      </c>
      <c r="H38" s="72">
        <f t="shared" si="13"/>
        <v>1.6799999999999999E-2</v>
      </c>
      <c r="I38" s="46">
        <v>36617</v>
      </c>
      <c r="J38" s="64">
        <v>37711</v>
      </c>
      <c r="K38">
        <v>275</v>
      </c>
      <c r="L38">
        <v>365</v>
      </c>
      <c r="M38">
        <v>365</v>
      </c>
      <c r="N38">
        <v>90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1"/>
        <v>110000000</v>
      </c>
      <c r="X38" s="30">
        <f t="shared" si="3"/>
        <v>146000000</v>
      </c>
      <c r="Y38" s="30">
        <f t="shared" si="4"/>
        <v>146000000</v>
      </c>
      <c r="Z38" s="30">
        <f t="shared" si="5"/>
        <v>36000000</v>
      </c>
      <c r="AA38" s="30">
        <f t="shared" si="6"/>
        <v>0</v>
      </c>
      <c r="AB38" s="30">
        <f t="shared" si="7"/>
        <v>0</v>
      </c>
      <c r="AC38" s="30">
        <f t="shared" si="8"/>
        <v>0</v>
      </c>
      <c r="AD38" s="30">
        <f t="shared" si="9"/>
        <v>0</v>
      </c>
      <c r="AE38" s="30">
        <f t="shared" si="10"/>
        <v>0</v>
      </c>
      <c r="AF38" s="30">
        <f t="shared" si="11"/>
        <v>0</v>
      </c>
      <c r="AG38" s="30">
        <f t="shared" si="12"/>
        <v>0</v>
      </c>
    </row>
    <row r="39" spans="1:33" x14ac:dyDescent="0.2">
      <c r="A39" s="104" t="s">
        <v>93</v>
      </c>
      <c r="B39" s="42" t="s">
        <v>19</v>
      </c>
      <c r="C39" s="60">
        <v>24809</v>
      </c>
      <c r="D39" s="76">
        <v>20000</v>
      </c>
      <c r="E39" s="57" t="s">
        <v>118</v>
      </c>
      <c r="F39" s="67">
        <f>0.2174-0.0093-0.102-0.0011</f>
        <v>0.10500000000000001</v>
      </c>
      <c r="G39" s="67">
        <v>9.2999999999999992E-3</v>
      </c>
      <c r="H39" s="72">
        <f t="shared" si="13"/>
        <v>0.11430000000000001</v>
      </c>
      <c r="J39" s="64">
        <v>37225</v>
      </c>
      <c r="K39">
        <v>366</v>
      </c>
      <c r="L39">
        <v>334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1"/>
        <v>7320000</v>
      </c>
      <c r="X39" s="30">
        <f t="shared" si="3"/>
        <v>6680000</v>
      </c>
      <c r="Y39" s="30">
        <f t="shared" si="4"/>
        <v>0</v>
      </c>
      <c r="Z39" s="30">
        <f t="shared" si="5"/>
        <v>0</v>
      </c>
      <c r="AA39" s="30">
        <f t="shared" si="6"/>
        <v>0</v>
      </c>
      <c r="AB39" s="30">
        <f t="shared" si="7"/>
        <v>0</v>
      </c>
      <c r="AC39" s="30">
        <f t="shared" si="8"/>
        <v>0</v>
      </c>
      <c r="AD39" s="30">
        <f t="shared" si="9"/>
        <v>0</v>
      </c>
      <c r="AE39" s="30">
        <f t="shared" si="10"/>
        <v>0</v>
      </c>
      <c r="AF39" s="30">
        <f t="shared" si="11"/>
        <v>0</v>
      </c>
      <c r="AG39" s="30">
        <f t="shared" si="12"/>
        <v>0</v>
      </c>
    </row>
    <row r="40" spans="1:33" x14ac:dyDescent="0.2">
      <c r="A40" s="80" t="s">
        <v>93</v>
      </c>
      <c r="B40" s="42" t="s">
        <v>88</v>
      </c>
      <c r="C40" s="60">
        <v>27420</v>
      </c>
      <c r="D40" s="76">
        <v>2500</v>
      </c>
      <c r="E40" s="57" t="s">
        <v>119</v>
      </c>
      <c r="F40" s="67">
        <v>5.57E-2</v>
      </c>
      <c r="G40" s="67">
        <v>9.2999999999999992E-3</v>
      </c>
      <c r="H40" s="72">
        <f t="shared" si="13"/>
        <v>6.5000000000000002E-2</v>
      </c>
      <c r="I40" s="46">
        <v>36861</v>
      </c>
      <c r="J40" s="64">
        <v>37225</v>
      </c>
      <c r="K40">
        <v>31</v>
      </c>
      <c r="L40">
        <v>334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1"/>
        <v>77500</v>
      </c>
      <c r="X40" s="30">
        <f t="shared" si="3"/>
        <v>835000</v>
      </c>
      <c r="Y40" s="30">
        <f t="shared" si="4"/>
        <v>0</v>
      </c>
      <c r="Z40" s="30">
        <f t="shared" si="5"/>
        <v>0</v>
      </c>
      <c r="AA40" s="30">
        <f t="shared" si="6"/>
        <v>0</v>
      </c>
      <c r="AB40" s="30">
        <f t="shared" si="7"/>
        <v>0</v>
      </c>
      <c r="AC40" s="30">
        <f t="shared" si="8"/>
        <v>0</v>
      </c>
      <c r="AD40" s="30">
        <f t="shared" si="9"/>
        <v>0</v>
      </c>
      <c r="AE40" s="30">
        <f t="shared" si="10"/>
        <v>0</v>
      </c>
      <c r="AF40" s="30">
        <f t="shared" si="11"/>
        <v>0</v>
      </c>
      <c r="AG40" s="30">
        <f t="shared" si="12"/>
        <v>0</v>
      </c>
    </row>
    <row r="41" spans="1:33" x14ac:dyDescent="0.2">
      <c r="A41" s="108" t="s">
        <v>95</v>
      </c>
      <c r="B41" s="42" t="s">
        <v>105</v>
      </c>
      <c r="C41" s="60">
        <v>27370</v>
      </c>
      <c r="D41" s="76">
        <v>22000</v>
      </c>
      <c r="E41" s="57" t="s">
        <v>115</v>
      </c>
      <c r="F41" s="67">
        <v>6.6699999999999995E-2</v>
      </c>
      <c r="G41" s="67">
        <v>3.3E-3</v>
      </c>
      <c r="H41" s="72">
        <f t="shared" si="13"/>
        <v>6.9999999999999993E-2</v>
      </c>
      <c r="I41" s="46">
        <v>36892</v>
      </c>
      <c r="J41" s="64">
        <v>37256</v>
      </c>
      <c r="K41">
        <v>0</v>
      </c>
      <c r="L41">
        <v>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1"/>
        <v>0</v>
      </c>
      <c r="X41" s="30">
        <f t="shared" si="3"/>
        <v>8030000</v>
      </c>
      <c r="Y41" s="30">
        <f t="shared" si="4"/>
        <v>0</v>
      </c>
      <c r="Z41" s="30">
        <f t="shared" si="5"/>
        <v>0</v>
      </c>
      <c r="AA41" s="30">
        <f t="shared" si="6"/>
        <v>0</v>
      </c>
      <c r="AB41" s="30">
        <f t="shared" si="7"/>
        <v>0</v>
      </c>
      <c r="AC41" s="30">
        <f t="shared" si="8"/>
        <v>0</v>
      </c>
      <c r="AD41" s="30">
        <f t="shared" si="9"/>
        <v>0</v>
      </c>
      <c r="AE41" s="30">
        <f t="shared" si="10"/>
        <v>0</v>
      </c>
      <c r="AF41" s="30">
        <f t="shared" si="11"/>
        <v>0</v>
      </c>
      <c r="AG41" s="30">
        <f t="shared" si="12"/>
        <v>0</v>
      </c>
    </row>
    <row r="42" spans="1:33" x14ac:dyDescent="0.2">
      <c r="A42" s="108" t="s">
        <v>95</v>
      </c>
      <c r="B42" s="49" t="s">
        <v>105</v>
      </c>
      <c r="C42" s="60">
        <v>27371</v>
      </c>
      <c r="D42" s="77">
        <v>21200</v>
      </c>
      <c r="E42" s="57" t="s">
        <v>115</v>
      </c>
      <c r="F42" s="70">
        <v>4.1700000000000001E-2</v>
      </c>
      <c r="G42" s="70">
        <v>3.3E-3</v>
      </c>
      <c r="H42" s="72">
        <f t="shared" ref="H42:H59" si="14">+G42+F42</f>
        <v>4.4999999999999998E-2</v>
      </c>
      <c r="I42" s="51">
        <v>36923</v>
      </c>
      <c r="J42" s="64">
        <v>37256</v>
      </c>
      <c r="K42">
        <v>0</v>
      </c>
      <c r="L42">
        <v>334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ref="W42:W59" si="15">+K42*$D42</f>
        <v>0</v>
      </c>
      <c r="X42" s="30">
        <f t="shared" ref="X42:X59" si="16">+L42*$D42</f>
        <v>7080800</v>
      </c>
      <c r="Y42" s="30">
        <f t="shared" ref="Y42:Y59" si="17">+M42*$D42</f>
        <v>0</v>
      </c>
      <c r="Z42" s="30">
        <f t="shared" ref="Z42:Z59" si="18">+N42*$D42</f>
        <v>0</v>
      </c>
      <c r="AA42" s="30">
        <f t="shared" ref="AA42:AA59" si="19">+O42*$D42</f>
        <v>0</v>
      </c>
      <c r="AB42" s="30">
        <f t="shared" ref="AB42:AB59" si="20">+P42*$D42</f>
        <v>0</v>
      </c>
      <c r="AC42" s="30">
        <f t="shared" ref="AC42:AC59" si="21">+Q42*$D42</f>
        <v>0</v>
      </c>
      <c r="AD42" s="30">
        <f t="shared" ref="AD42:AD59" si="22">+R42*$D42</f>
        <v>0</v>
      </c>
      <c r="AE42" s="30">
        <f t="shared" ref="AE42:AE59" si="23">+S42*$D42</f>
        <v>0</v>
      </c>
      <c r="AF42" s="30">
        <f t="shared" ref="AF42:AF59" si="24">+T42*$D42</f>
        <v>0</v>
      </c>
      <c r="AG42" s="30">
        <f t="shared" ref="AG42:AG59" si="25">+U42*$D42</f>
        <v>0</v>
      </c>
    </row>
    <row r="43" spans="1:33" x14ac:dyDescent="0.2">
      <c r="A43" s="112" t="s">
        <v>95</v>
      </c>
      <c r="B43" s="49" t="s">
        <v>106</v>
      </c>
      <c r="C43" s="60">
        <v>25071</v>
      </c>
      <c r="D43" s="76">
        <v>60000</v>
      </c>
      <c r="E43" s="57" t="s">
        <v>115</v>
      </c>
      <c r="F43" s="67">
        <v>4.6699999999999998E-2</v>
      </c>
      <c r="G43" s="67">
        <v>3.3E-3</v>
      </c>
      <c r="H43" s="72">
        <f t="shared" si="14"/>
        <v>4.9999999999999996E-2</v>
      </c>
      <c r="I43" s="51">
        <v>35400</v>
      </c>
      <c r="J43" s="64">
        <v>39782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365</v>
      </c>
      <c r="Q43">
        <v>365</v>
      </c>
      <c r="R43">
        <v>365</v>
      </c>
      <c r="S43">
        <v>335</v>
      </c>
      <c r="T43">
        <v>0</v>
      </c>
      <c r="U43">
        <v>0</v>
      </c>
      <c r="W43" s="30">
        <f t="shared" si="15"/>
        <v>21960000</v>
      </c>
      <c r="X43" s="30">
        <f t="shared" si="16"/>
        <v>21900000</v>
      </c>
      <c r="Y43" s="30">
        <f t="shared" si="17"/>
        <v>21900000</v>
      </c>
      <c r="Z43" s="30">
        <f t="shared" si="18"/>
        <v>21900000</v>
      </c>
      <c r="AA43" s="30">
        <f t="shared" si="19"/>
        <v>21960000</v>
      </c>
      <c r="AB43" s="30">
        <f t="shared" si="20"/>
        <v>21900000</v>
      </c>
      <c r="AC43" s="30">
        <f t="shared" si="21"/>
        <v>21900000</v>
      </c>
      <c r="AD43" s="30">
        <f t="shared" si="22"/>
        <v>21900000</v>
      </c>
      <c r="AE43" s="30">
        <f t="shared" si="23"/>
        <v>20100000</v>
      </c>
      <c r="AF43" s="30">
        <f t="shared" si="24"/>
        <v>0</v>
      </c>
      <c r="AG43" s="30">
        <f t="shared" si="25"/>
        <v>0</v>
      </c>
    </row>
    <row r="44" spans="1:33" x14ac:dyDescent="0.2">
      <c r="A44" s="108" t="s">
        <v>95</v>
      </c>
      <c r="B44" s="49" t="s">
        <v>106</v>
      </c>
      <c r="C44" s="60">
        <v>27460</v>
      </c>
      <c r="D44" s="76">
        <v>55000</v>
      </c>
      <c r="E44" s="57" t="s">
        <v>118</v>
      </c>
      <c r="F44" s="67">
        <v>0.10199999999999999</v>
      </c>
      <c r="G44" s="67">
        <v>1.1000000000000001E-3</v>
      </c>
      <c r="H44" s="72">
        <f t="shared" si="14"/>
        <v>0.1031</v>
      </c>
      <c r="I44" s="51">
        <v>37257</v>
      </c>
      <c r="J44" s="64">
        <v>37986</v>
      </c>
      <c r="K44">
        <v>0</v>
      </c>
      <c r="L44">
        <v>0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15"/>
        <v>0</v>
      </c>
      <c r="X44" s="30">
        <f t="shared" si="16"/>
        <v>0</v>
      </c>
      <c r="Y44" s="30">
        <f t="shared" si="17"/>
        <v>20075000</v>
      </c>
      <c r="Z44" s="30">
        <f t="shared" si="18"/>
        <v>20075000</v>
      </c>
      <c r="AA44" s="30">
        <f t="shared" si="19"/>
        <v>0</v>
      </c>
      <c r="AB44" s="30">
        <f t="shared" si="20"/>
        <v>0</v>
      </c>
      <c r="AC44" s="30">
        <f t="shared" si="21"/>
        <v>0</v>
      </c>
      <c r="AD44" s="30">
        <f t="shared" si="22"/>
        <v>0</v>
      </c>
      <c r="AE44" s="30">
        <f t="shared" si="23"/>
        <v>0</v>
      </c>
      <c r="AF44" s="30">
        <f t="shared" si="24"/>
        <v>0</v>
      </c>
      <c r="AG44" s="30">
        <f t="shared" si="25"/>
        <v>0</v>
      </c>
    </row>
    <row r="45" spans="1:33" x14ac:dyDescent="0.2">
      <c r="A45" s="108" t="s">
        <v>95</v>
      </c>
      <c r="B45" s="42" t="s">
        <v>16</v>
      </c>
      <c r="C45" s="60">
        <v>25067</v>
      </c>
      <c r="D45" s="76">
        <v>15000</v>
      </c>
      <c r="E45" s="57" t="s">
        <v>115</v>
      </c>
      <c r="F45" s="67">
        <v>4.3900000000000002E-2</v>
      </c>
      <c r="G45" s="67">
        <v>1.1000000000000001E-3</v>
      </c>
      <c r="H45" s="72">
        <f t="shared" si="14"/>
        <v>4.4999999999999998E-2</v>
      </c>
      <c r="I45" s="45">
        <v>35309</v>
      </c>
      <c r="J45" s="64">
        <v>37225</v>
      </c>
      <c r="K45">
        <v>366</v>
      </c>
      <c r="L45">
        <v>334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 s="30">
        <f t="shared" si="15"/>
        <v>5490000</v>
      </c>
      <c r="X45" s="30">
        <f t="shared" si="16"/>
        <v>5010000</v>
      </c>
      <c r="Y45" s="30">
        <f t="shared" si="17"/>
        <v>0</v>
      </c>
      <c r="Z45" s="30">
        <f t="shared" si="18"/>
        <v>0</v>
      </c>
      <c r="AA45" s="30">
        <f t="shared" si="19"/>
        <v>0</v>
      </c>
      <c r="AB45" s="30">
        <f t="shared" si="20"/>
        <v>0</v>
      </c>
      <c r="AC45" s="30">
        <f t="shared" si="21"/>
        <v>0</v>
      </c>
      <c r="AD45" s="30">
        <f t="shared" si="22"/>
        <v>0</v>
      </c>
      <c r="AE45" s="30">
        <f t="shared" si="23"/>
        <v>0</v>
      </c>
      <c r="AF45" s="30">
        <f t="shared" si="24"/>
        <v>0</v>
      </c>
      <c r="AG45" s="30">
        <f t="shared" si="25"/>
        <v>0</v>
      </c>
    </row>
    <row r="46" spans="1:33" x14ac:dyDescent="0.2">
      <c r="A46" s="108" t="s">
        <v>95</v>
      </c>
      <c r="B46" s="42" t="s">
        <v>16</v>
      </c>
      <c r="C46" s="60">
        <v>27651</v>
      </c>
      <c r="D46" s="76">
        <v>33000</v>
      </c>
      <c r="E46" s="57" t="s">
        <v>115</v>
      </c>
      <c r="F46" s="67">
        <v>0.10199999999999999</v>
      </c>
      <c r="G46" s="67">
        <v>1.1000000000000001E-3</v>
      </c>
      <c r="H46" s="72">
        <f t="shared" si="14"/>
        <v>0.1031</v>
      </c>
      <c r="I46" s="46">
        <v>37073</v>
      </c>
      <c r="J46" s="64">
        <v>37134</v>
      </c>
      <c r="K46">
        <v>0</v>
      </c>
      <c r="L46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15"/>
        <v>0</v>
      </c>
      <c r="X46" s="30">
        <f t="shared" si="16"/>
        <v>2046000</v>
      </c>
      <c r="Y46" s="30">
        <f t="shared" si="17"/>
        <v>0</v>
      </c>
      <c r="Z46" s="30">
        <f t="shared" si="18"/>
        <v>0</v>
      </c>
      <c r="AA46" s="30">
        <f t="shared" si="19"/>
        <v>0</v>
      </c>
      <c r="AB46" s="30">
        <f t="shared" si="20"/>
        <v>0</v>
      </c>
      <c r="AC46" s="30">
        <f t="shared" si="21"/>
        <v>0</v>
      </c>
      <c r="AD46" s="30">
        <f t="shared" si="22"/>
        <v>0</v>
      </c>
      <c r="AE46" s="30">
        <f t="shared" si="23"/>
        <v>0</v>
      </c>
      <c r="AF46" s="30">
        <f t="shared" si="24"/>
        <v>0</v>
      </c>
      <c r="AG46" s="30">
        <f t="shared" si="25"/>
        <v>0</v>
      </c>
    </row>
    <row r="47" spans="1:33" x14ac:dyDescent="0.2">
      <c r="A47" s="105" t="s">
        <v>95</v>
      </c>
      <c r="B47" s="42" t="s">
        <v>21</v>
      </c>
      <c r="C47" s="60">
        <v>24654</v>
      </c>
      <c r="D47" s="76">
        <v>8000</v>
      </c>
      <c r="E47" s="57" t="s">
        <v>115</v>
      </c>
      <c r="F47" s="67">
        <v>6.6699999999999995E-2</v>
      </c>
      <c r="G47" s="67">
        <v>3.3E-3</v>
      </c>
      <c r="H47" s="72">
        <f t="shared" si="14"/>
        <v>6.9999999999999993E-2</v>
      </c>
      <c r="I47" s="45">
        <v>35400</v>
      </c>
      <c r="J47" s="64">
        <v>37256</v>
      </c>
      <c r="K47">
        <v>366</v>
      </c>
      <c r="L47">
        <v>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15"/>
        <v>2928000</v>
      </c>
      <c r="X47" s="30">
        <f t="shared" si="16"/>
        <v>2920000</v>
      </c>
      <c r="Y47" s="30">
        <f t="shared" si="17"/>
        <v>0</v>
      </c>
      <c r="Z47" s="30">
        <f t="shared" si="18"/>
        <v>0</v>
      </c>
      <c r="AA47" s="30">
        <f t="shared" si="19"/>
        <v>0</v>
      </c>
      <c r="AB47" s="30">
        <f t="shared" si="20"/>
        <v>0</v>
      </c>
      <c r="AC47" s="30">
        <f t="shared" si="21"/>
        <v>0</v>
      </c>
      <c r="AD47" s="30">
        <f t="shared" si="22"/>
        <v>0</v>
      </c>
      <c r="AE47" s="30">
        <f t="shared" si="23"/>
        <v>0</v>
      </c>
      <c r="AF47" s="30">
        <f t="shared" si="24"/>
        <v>0</v>
      </c>
      <c r="AG47" s="30">
        <f t="shared" si="25"/>
        <v>0</v>
      </c>
    </row>
    <row r="48" spans="1:33" x14ac:dyDescent="0.2">
      <c r="A48" s="108" t="s">
        <v>95</v>
      </c>
      <c r="B48" s="40" t="s">
        <v>21</v>
      </c>
      <c r="C48" s="60">
        <v>24924</v>
      </c>
      <c r="D48" s="76">
        <v>25000</v>
      </c>
      <c r="E48" s="57" t="s">
        <v>115</v>
      </c>
      <c r="F48" s="67">
        <v>5.67E-2</v>
      </c>
      <c r="G48" s="67">
        <v>3.3E-3</v>
      </c>
      <c r="H48" s="72">
        <f t="shared" si="14"/>
        <v>0.06</v>
      </c>
      <c r="I48" s="45">
        <v>35309</v>
      </c>
      <c r="J48" s="64">
        <v>38017</v>
      </c>
      <c r="K48">
        <v>366</v>
      </c>
      <c r="L48">
        <v>365</v>
      </c>
      <c r="M48">
        <v>365</v>
      </c>
      <c r="N48">
        <v>365</v>
      </c>
      <c r="O48">
        <v>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15"/>
        <v>9150000</v>
      </c>
      <c r="X48" s="30">
        <f t="shared" si="16"/>
        <v>9125000</v>
      </c>
      <c r="Y48" s="30">
        <f t="shared" si="17"/>
        <v>9125000</v>
      </c>
      <c r="Z48" s="30">
        <f t="shared" si="18"/>
        <v>9125000</v>
      </c>
      <c r="AA48" s="30">
        <f t="shared" si="19"/>
        <v>775000</v>
      </c>
      <c r="AB48" s="30">
        <f t="shared" si="20"/>
        <v>0</v>
      </c>
      <c r="AC48" s="30">
        <f t="shared" si="21"/>
        <v>0</v>
      </c>
      <c r="AD48" s="30">
        <f t="shared" si="22"/>
        <v>0</v>
      </c>
      <c r="AE48" s="30">
        <f t="shared" si="23"/>
        <v>0</v>
      </c>
      <c r="AF48" s="30">
        <f t="shared" si="24"/>
        <v>0</v>
      </c>
      <c r="AG48" s="30">
        <f t="shared" si="25"/>
        <v>0</v>
      </c>
    </row>
    <row r="49" spans="1:33" x14ac:dyDescent="0.2">
      <c r="A49" s="105" t="s">
        <v>95</v>
      </c>
      <c r="B49" s="40" t="s">
        <v>94</v>
      </c>
      <c r="C49" s="60">
        <v>24568</v>
      </c>
      <c r="D49" s="78">
        <v>32000</v>
      </c>
      <c r="E49" s="57" t="s">
        <v>115</v>
      </c>
      <c r="F49" s="67">
        <v>6.6699999999999995E-2</v>
      </c>
      <c r="G49" s="67">
        <v>3.3E-3</v>
      </c>
      <c r="H49" s="72">
        <f t="shared" si="14"/>
        <v>6.9999999999999993E-2</v>
      </c>
      <c r="I49" s="45">
        <v>35400</v>
      </c>
      <c r="J49" s="64">
        <v>37256</v>
      </c>
      <c r="K49">
        <v>366</v>
      </c>
      <c r="L49">
        <v>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15"/>
        <v>11712000</v>
      </c>
      <c r="X49" s="30">
        <f t="shared" si="16"/>
        <v>11680000</v>
      </c>
      <c r="Y49" s="30">
        <f t="shared" si="17"/>
        <v>0</v>
      </c>
      <c r="Z49" s="30">
        <f t="shared" si="18"/>
        <v>0</v>
      </c>
      <c r="AA49" s="30">
        <f t="shared" si="19"/>
        <v>0</v>
      </c>
      <c r="AB49" s="30">
        <f t="shared" si="20"/>
        <v>0</v>
      </c>
      <c r="AC49" s="30">
        <f t="shared" si="21"/>
        <v>0</v>
      </c>
      <c r="AD49" s="30">
        <f t="shared" si="22"/>
        <v>0</v>
      </c>
      <c r="AE49" s="30">
        <f t="shared" si="23"/>
        <v>0</v>
      </c>
      <c r="AF49" s="30">
        <f t="shared" si="24"/>
        <v>0</v>
      </c>
      <c r="AG49" s="30">
        <f t="shared" si="25"/>
        <v>0</v>
      </c>
    </row>
    <row r="50" spans="1:33" x14ac:dyDescent="0.2">
      <c r="A50" s="108" t="s">
        <v>95</v>
      </c>
      <c r="B50" s="42" t="s">
        <v>102</v>
      </c>
      <c r="C50" s="60">
        <v>24927</v>
      </c>
      <c r="D50" s="76">
        <v>30000</v>
      </c>
      <c r="E50" s="57" t="s">
        <v>115</v>
      </c>
      <c r="F50" s="67">
        <v>3.6700000000000003E-2</v>
      </c>
      <c r="G50" s="67">
        <v>3.3E-3</v>
      </c>
      <c r="H50" s="72">
        <f t="shared" si="14"/>
        <v>0.04</v>
      </c>
      <c r="I50" s="45">
        <v>35309</v>
      </c>
      <c r="J50" s="64">
        <v>38748</v>
      </c>
      <c r="K50">
        <v>366</v>
      </c>
      <c r="L50">
        <v>365</v>
      </c>
      <c r="M50">
        <v>365</v>
      </c>
      <c r="N50">
        <v>365</v>
      </c>
      <c r="O50">
        <v>366</v>
      </c>
      <c r="P50">
        <v>365</v>
      </c>
      <c r="Q50">
        <v>31</v>
      </c>
      <c r="R50">
        <v>0</v>
      </c>
      <c r="S50">
        <v>0</v>
      </c>
      <c r="T50">
        <v>0</v>
      </c>
      <c r="U50">
        <v>0</v>
      </c>
      <c r="W50" s="30">
        <f t="shared" si="15"/>
        <v>10980000</v>
      </c>
      <c r="X50" s="30">
        <f t="shared" si="16"/>
        <v>10950000</v>
      </c>
      <c r="Y50" s="30">
        <f t="shared" si="17"/>
        <v>10950000</v>
      </c>
      <c r="Z50" s="30">
        <f t="shared" si="18"/>
        <v>10950000</v>
      </c>
      <c r="AA50" s="30">
        <f t="shared" si="19"/>
        <v>10980000</v>
      </c>
      <c r="AB50" s="30">
        <f t="shared" si="20"/>
        <v>10950000</v>
      </c>
      <c r="AC50" s="30">
        <f t="shared" si="21"/>
        <v>930000</v>
      </c>
      <c r="AD50" s="30">
        <f t="shared" si="22"/>
        <v>0</v>
      </c>
      <c r="AE50" s="30">
        <f t="shared" si="23"/>
        <v>0</v>
      </c>
      <c r="AF50" s="30">
        <f t="shared" si="24"/>
        <v>0</v>
      </c>
      <c r="AG50" s="30">
        <f t="shared" si="25"/>
        <v>0</v>
      </c>
    </row>
    <row r="51" spans="1:33" x14ac:dyDescent="0.2">
      <c r="A51" s="108" t="s">
        <v>95</v>
      </c>
      <c r="B51" s="42" t="s">
        <v>98</v>
      </c>
      <c r="C51" s="60">
        <v>25397</v>
      </c>
      <c r="D51" s="76">
        <v>10000</v>
      </c>
      <c r="E51" s="57" t="s">
        <v>115</v>
      </c>
      <c r="F51" s="67">
        <v>2.8899999999999999E-2</v>
      </c>
      <c r="G51" s="67">
        <v>1.1000000000000001E-3</v>
      </c>
      <c r="H51" s="72">
        <f t="shared" si="14"/>
        <v>0.03</v>
      </c>
      <c r="I51" s="46">
        <v>35886</v>
      </c>
      <c r="J51" s="64">
        <v>37711</v>
      </c>
      <c r="K51">
        <v>366</v>
      </c>
      <c r="L51">
        <v>365</v>
      </c>
      <c r="M51">
        <v>365</v>
      </c>
      <c r="N51">
        <v>90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 s="30">
        <f t="shared" si="15"/>
        <v>3660000</v>
      </c>
      <c r="X51" s="30">
        <f t="shared" si="16"/>
        <v>3650000</v>
      </c>
      <c r="Y51" s="30">
        <f t="shared" si="17"/>
        <v>3650000</v>
      </c>
      <c r="Z51" s="30">
        <f t="shared" si="18"/>
        <v>900000</v>
      </c>
      <c r="AA51" s="30">
        <f t="shared" si="19"/>
        <v>0</v>
      </c>
      <c r="AB51" s="30">
        <f t="shared" si="20"/>
        <v>0</v>
      </c>
      <c r="AC51" s="30">
        <f t="shared" si="21"/>
        <v>0</v>
      </c>
      <c r="AD51" s="30">
        <f t="shared" si="22"/>
        <v>0</v>
      </c>
      <c r="AE51" s="30">
        <f t="shared" si="23"/>
        <v>0</v>
      </c>
      <c r="AF51" s="30">
        <f t="shared" si="24"/>
        <v>0</v>
      </c>
      <c r="AG51" s="30">
        <f t="shared" si="25"/>
        <v>0</v>
      </c>
    </row>
    <row r="52" spans="1:33" x14ac:dyDescent="0.2">
      <c r="A52" s="108" t="s">
        <v>95</v>
      </c>
      <c r="B52" s="42" t="s">
        <v>103</v>
      </c>
      <c r="C52" s="60">
        <v>27047</v>
      </c>
      <c r="D52" s="76">
        <v>125000</v>
      </c>
      <c r="E52" s="58" t="s">
        <v>120</v>
      </c>
      <c r="F52" s="67">
        <v>3.6600000000000001E-2</v>
      </c>
      <c r="G52" s="67">
        <v>3.3E-3</v>
      </c>
      <c r="H52" s="72">
        <f t="shared" si="14"/>
        <v>3.9899999999999998E-2</v>
      </c>
      <c r="I52" s="46">
        <v>36557</v>
      </c>
      <c r="J52" s="64">
        <v>38717</v>
      </c>
      <c r="K52">
        <v>335</v>
      </c>
      <c r="L52">
        <v>365</v>
      </c>
      <c r="M52">
        <v>365</v>
      </c>
      <c r="N52">
        <v>365</v>
      </c>
      <c r="O52">
        <v>366</v>
      </c>
      <c r="P52">
        <v>365</v>
      </c>
      <c r="Q52">
        <v>0</v>
      </c>
      <c r="R52">
        <v>0</v>
      </c>
      <c r="S52">
        <v>0</v>
      </c>
      <c r="T52">
        <v>0</v>
      </c>
      <c r="U52">
        <v>0</v>
      </c>
      <c r="W52" s="30">
        <f t="shared" si="15"/>
        <v>41875000</v>
      </c>
      <c r="X52" s="30">
        <f t="shared" si="16"/>
        <v>45625000</v>
      </c>
      <c r="Y52" s="30">
        <f t="shared" si="17"/>
        <v>45625000</v>
      </c>
      <c r="Z52" s="30">
        <f t="shared" si="18"/>
        <v>45625000</v>
      </c>
      <c r="AA52" s="30">
        <f t="shared" si="19"/>
        <v>45750000</v>
      </c>
      <c r="AB52" s="30">
        <f t="shared" si="20"/>
        <v>45625000</v>
      </c>
      <c r="AC52" s="30">
        <f t="shared" si="21"/>
        <v>0</v>
      </c>
      <c r="AD52" s="30">
        <f t="shared" si="22"/>
        <v>0</v>
      </c>
      <c r="AE52" s="30">
        <f t="shared" si="23"/>
        <v>0</v>
      </c>
      <c r="AF52" s="30">
        <f t="shared" si="24"/>
        <v>0</v>
      </c>
      <c r="AG52" s="30">
        <f t="shared" si="25"/>
        <v>0</v>
      </c>
    </row>
    <row r="53" spans="1:33" x14ac:dyDescent="0.2">
      <c r="A53" s="108" t="s">
        <v>95</v>
      </c>
      <c r="B53" s="42" t="s">
        <v>100</v>
      </c>
      <c r="C53" s="60">
        <v>27342</v>
      </c>
      <c r="D53" s="76">
        <v>30000</v>
      </c>
      <c r="E53" s="57" t="s">
        <v>115</v>
      </c>
      <c r="F53" s="67">
        <v>5.8900000000000001E-2</v>
      </c>
      <c r="G53" s="67">
        <v>1.1000000000000001E-3</v>
      </c>
      <c r="H53" s="72">
        <f t="shared" si="14"/>
        <v>0.06</v>
      </c>
      <c r="I53" s="46">
        <v>36892</v>
      </c>
      <c r="J53" s="64">
        <v>37256</v>
      </c>
      <c r="K53">
        <v>0</v>
      </c>
      <c r="L53">
        <v>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 s="30">
        <f t="shared" si="15"/>
        <v>0</v>
      </c>
      <c r="X53" s="30">
        <f t="shared" si="16"/>
        <v>10950000</v>
      </c>
      <c r="Y53" s="30">
        <f t="shared" si="17"/>
        <v>0</v>
      </c>
      <c r="Z53" s="30">
        <f t="shared" si="18"/>
        <v>0</v>
      </c>
      <c r="AA53" s="30">
        <f t="shared" si="19"/>
        <v>0</v>
      </c>
      <c r="AB53" s="30">
        <f t="shared" si="20"/>
        <v>0</v>
      </c>
      <c r="AC53" s="30">
        <f t="shared" si="21"/>
        <v>0</v>
      </c>
      <c r="AD53" s="30">
        <f t="shared" si="22"/>
        <v>0</v>
      </c>
      <c r="AE53" s="30">
        <f t="shared" si="23"/>
        <v>0</v>
      </c>
      <c r="AF53" s="30">
        <f t="shared" si="24"/>
        <v>0</v>
      </c>
      <c r="AG53" s="30">
        <f t="shared" si="25"/>
        <v>0</v>
      </c>
    </row>
    <row r="54" spans="1:33" x14ac:dyDescent="0.2">
      <c r="A54" s="108" t="s">
        <v>95</v>
      </c>
      <c r="B54" s="42" t="s">
        <v>99</v>
      </c>
      <c r="C54" s="60">
        <v>26044</v>
      </c>
      <c r="D54" s="76">
        <v>85000</v>
      </c>
      <c r="E54" s="57" t="s">
        <v>115</v>
      </c>
      <c r="F54" s="67">
        <v>2.8899999999999999E-2</v>
      </c>
      <c r="G54" s="67">
        <v>1.1000000000000001E-3</v>
      </c>
      <c r="H54" s="72">
        <f t="shared" si="14"/>
        <v>0.03</v>
      </c>
      <c r="I54" s="46">
        <v>35886</v>
      </c>
      <c r="J54" s="64">
        <v>37925</v>
      </c>
      <c r="K54">
        <v>366</v>
      </c>
      <c r="L54">
        <v>365</v>
      </c>
      <c r="M54">
        <v>365</v>
      </c>
      <c r="N54">
        <v>304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 s="30">
        <f t="shared" si="15"/>
        <v>31110000</v>
      </c>
      <c r="X54" s="30">
        <f t="shared" si="16"/>
        <v>31025000</v>
      </c>
      <c r="Y54" s="30">
        <f t="shared" si="17"/>
        <v>31025000</v>
      </c>
      <c r="Z54" s="30">
        <f t="shared" si="18"/>
        <v>25840000</v>
      </c>
      <c r="AA54" s="30">
        <f t="shared" si="19"/>
        <v>0</v>
      </c>
      <c r="AB54" s="30">
        <f t="shared" si="20"/>
        <v>0</v>
      </c>
      <c r="AC54" s="30">
        <f t="shared" si="21"/>
        <v>0</v>
      </c>
      <c r="AD54" s="30">
        <f t="shared" si="22"/>
        <v>0</v>
      </c>
      <c r="AE54" s="30">
        <f t="shared" si="23"/>
        <v>0</v>
      </c>
      <c r="AF54" s="30">
        <f t="shared" si="24"/>
        <v>0</v>
      </c>
      <c r="AG54" s="30">
        <f t="shared" si="25"/>
        <v>0</v>
      </c>
    </row>
    <row r="55" spans="1:33" x14ac:dyDescent="0.2">
      <c r="A55" s="108" t="s">
        <v>95</v>
      </c>
      <c r="B55" s="42" t="s">
        <v>99</v>
      </c>
      <c r="C55" s="60">
        <v>26436</v>
      </c>
      <c r="D55" s="76">
        <v>59000</v>
      </c>
      <c r="E55" s="57" t="s">
        <v>115</v>
      </c>
      <c r="F55" s="67">
        <v>4.8899999999999999E-2</v>
      </c>
      <c r="G55" s="67">
        <v>1.1000000000000001E-3</v>
      </c>
      <c r="H55" s="72">
        <f t="shared" si="14"/>
        <v>4.9999999999999996E-2</v>
      </c>
      <c r="I55" s="46">
        <v>36100</v>
      </c>
      <c r="J55" s="64">
        <v>37925</v>
      </c>
      <c r="K55">
        <v>366</v>
      </c>
      <c r="L55">
        <v>365</v>
      </c>
      <c r="M55">
        <v>365</v>
      </c>
      <c r="N55">
        <v>304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 s="30">
        <f t="shared" si="15"/>
        <v>21594000</v>
      </c>
      <c r="X55" s="30">
        <f t="shared" si="16"/>
        <v>21535000</v>
      </c>
      <c r="Y55" s="30">
        <f t="shared" si="17"/>
        <v>21535000</v>
      </c>
      <c r="Z55" s="30">
        <f t="shared" si="18"/>
        <v>17936000</v>
      </c>
      <c r="AA55" s="30">
        <f t="shared" si="19"/>
        <v>0</v>
      </c>
      <c r="AB55" s="30">
        <f t="shared" si="20"/>
        <v>0</v>
      </c>
      <c r="AC55" s="30">
        <f t="shared" si="21"/>
        <v>0</v>
      </c>
      <c r="AD55" s="30">
        <f t="shared" si="22"/>
        <v>0</v>
      </c>
      <c r="AE55" s="30">
        <f t="shared" si="23"/>
        <v>0</v>
      </c>
      <c r="AF55" s="30">
        <f t="shared" si="24"/>
        <v>0</v>
      </c>
      <c r="AG55" s="30">
        <f t="shared" si="25"/>
        <v>0</v>
      </c>
    </row>
    <row r="56" spans="1:33" x14ac:dyDescent="0.2">
      <c r="A56" s="108" t="s">
        <v>95</v>
      </c>
      <c r="B56" s="42" t="s">
        <v>101</v>
      </c>
      <c r="C56" s="60">
        <v>24669</v>
      </c>
      <c r="D56" s="76">
        <v>12500</v>
      </c>
      <c r="E56" s="57" t="s">
        <v>119</v>
      </c>
      <c r="F56" s="67">
        <v>5.67E-2</v>
      </c>
      <c r="G56" s="67">
        <v>3.3E-3</v>
      </c>
      <c r="H56" s="72">
        <f t="shared" si="14"/>
        <v>0.06</v>
      </c>
      <c r="I56" s="45">
        <v>35309</v>
      </c>
      <c r="J56" s="64">
        <v>38748</v>
      </c>
      <c r="K56">
        <v>366</v>
      </c>
      <c r="L56">
        <v>365</v>
      </c>
      <c r="M56">
        <v>365</v>
      </c>
      <c r="N56">
        <v>365</v>
      </c>
      <c r="O56">
        <v>366</v>
      </c>
      <c r="P56">
        <v>365</v>
      </c>
      <c r="Q56">
        <v>31</v>
      </c>
      <c r="R56">
        <v>0</v>
      </c>
      <c r="S56">
        <v>0</v>
      </c>
      <c r="T56">
        <v>0</v>
      </c>
      <c r="U56">
        <v>0</v>
      </c>
      <c r="W56" s="30">
        <f t="shared" si="15"/>
        <v>4575000</v>
      </c>
      <c r="X56" s="30">
        <f t="shared" si="16"/>
        <v>4562500</v>
      </c>
      <c r="Y56" s="30">
        <f t="shared" si="17"/>
        <v>4562500</v>
      </c>
      <c r="Z56" s="30">
        <f t="shared" si="18"/>
        <v>4562500</v>
      </c>
      <c r="AA56" s="30">
        <f t="shared" si="19"/>
        <v>4575000</v>
      </c>
      <c r="AB56" s="30">
        <f t="shared" si="20"/>
        <v>4562500</v>
      </c>
      <c r="AC56" s="30">
        <f t="shared" si="21"/>
        <v>387500</v>
      </c>
      <c r="AD56" s="30">
        <f t="shared" si="22"/>
        <v>0</v>
      </c>
      <c r="AE56" s="30">
        <f t="shared" si="23"/>
        <v>0</v>
      </c>
      <c r="AF56" s="30">
        <f t="shared" si="24"/>
        <v>0</v>
      </c>
      <c r="AG56" s="30">
        <f t="shared" si="25"/>
        <v>0</v>
      </c>
    </row>
    <row r="57" spans="1:33" x14ac:dyDescent="0.2">
      <c r="A57" s="108" t="s">
        <v>95</v>
      </c>
      <c r="B57" s="42" t="s">
        <v>104</v>
      </c>
      <c r="C57" s="60">
        <v>27344</v>
      </c>
      <c r="D57" s="76">
        <v>13500</v>
      </c>
      <c r="E57" s="57" t="s">
        <v>115</v>
      </c>
      <c r="F57" s="67">
        <v>4.1700000000000001E-2</v>
      </c>
      <c r="G57" s="67">
        <v>3.3E-3</v>
      </c>
      <c r="H57" s="72">
        <f t="shared" si="14"/>
        <v>4.4999999999999998E-2</v>
      </c>
      <c r="I57" s="46">
        <v>36892</v>
      </c>
      <c r="J57" s="64">
        <v>37621</v>
      </c>
      <c r="K57">
        <v>0</v>
      </c>
      <c r="L57">
        <v>365</v>
      </c>
      <c r="M57">
        <v>365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 s="30">
        <f t="shared" si="15"/>
        <v>0</v>
      </c>
      <c r="X57" s="30">
        <f t="shared" si="16"/>
        <v>4927500</v>
      </c>
      <c r="Y57" s="30">
        <f t="shared" si="17"/>
        <v>4927500</v>
      </c>
      <c r="Z57" s="30">
        <f t="shared" si="18"/>
        <v>0</v>
      </c>
      <c r="AA57" s="30">
        <f t="shared" si="19"/>
        <v>0</v>
      </c>
      <c r="AB57" s="30">
        <f t="shared" si="20"/>
        <v>0</v>
      </c>
      <c r="AC57" s="30">
        <f t="shared" si="21"/>
        <v>0</v>
      </c>
      <c r="AD57" s="30">
        <f t="shared" si="22"/>
        <v>0</v>
      </c>
      <c r="AE57" s="30">
        <f t="shared" si="23"/>
        <v>0</v>
      </c>
      <c r="AF57" s="30">
        <f t="shared" si="24"/>
        <v>0</v>
      </c>
      <c r="AG57" s="30">
        <f t="shared" si="25"/>
        <v>0</v>
      </c>
    </row>
    <row r="58" spans="1:33" x14ac:dyDescent="0.2">
      <c r="A58" s="108" t="s">
        <v>95</v>
      </c>
      <c r="B58" s="42" t="s">
        <v>97</v>
      </c>
      <c r="C58" s="60">
        <v>24925</v>
      </c>
      <c r="D58" s="76">
        <v>100000</v>
      </c>
      <c r="E58" s="57" t="s">
        <v>115</v>
      </c>
      <c r="F58" s="67">
        <v>5.67E-2</v>
      </c>
      <c r="G58" s="67">
        <v>3.3E-3</v>
      </c>
      <c r="H58" s="72">
        <f t="shared" si="14"/>
        <v>0.06</v>
      </c>
      <c r="I58" s="45">
        <v>35309</v>
      </c>
      <c r="J58" s="64">
        <v>38017</v>
      </c>
      <c r="K58">
        <v>366</v>
      </c>
      <c r="L58">
        <v>365</v>
      </c>
      <c r="M58">
        <v>365</v>
      </c>
      <c r="N58">
        <v>365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 s="30">
        <f t="shared" si="15"/>
        <v>36600000</v>
      </c>
      <c r="X58" s="30">
        <f t="shared" si="16"/>
        <v>36500000</v>
      </c>
      <c r="Y58" s="30">
        <f t="shared" si="17"/>
        <v>36500000</v>
      </c>
      <c r="Z58" s="30">
        <f t="shared" si="18"/>
        <v>36500000</v>
      </c>
      <c r="AA58" s="30">
        <f t="shared" si="19"/>
        <v>3100000</v>
      </c>
      <c r="AB58" s="30">
        <f t="shared" si="20"/>
        <v>0</v>
      </c>
      <c r="AC58" s="30">
        <f t="shared" si="21"/>
        <v>0</v>
      </c>
      <c r="AD58" s="30">
        <f t="shared" si="22"/>
        <v>0</v>
      </c>
      <c r="AE58" s="30">
        <f t="shared" si="23"/>
        <v>0</v>
      </c>
      <c r="AF58" s="30">
        <f t="shared" si="24"/>
        <v>0</v>
      </c>
      <c r="AG58" s="30">
        <f t="shared" si="25"/>
        <v>0</v>
      </c>
    </row>
    <row r="59" spans="1:33" x14ac:dyDescent="0.2">
      <c r="A59" s="113" t="s">
        <v>0</v>
      </c>
      <c r="B59" s="24" t="s">
        <v>52</v>
      </c>
      <c r="C59" s="60">
        <v>24735</v>
      </c>
      <c r="D59" s="121">
        <v>4000</v>
      </c>
      <c r="E59" s="56" t="s">
        <v>117</v>
      </c>
      <c r="F59" s="122">
        <v>0.10199999999999999</v>
      </c>
      <c r="G59" s="122">
        <v>1.1000000000000001E-3</v>
      </c>
      <c r="H59" s="72">
        <f t="shared" si="14"/>
        <v>0.1031</v>
      </c>
      <c r="I59" s="63">
        <v>36525</v>
      </c>
      <c r="J59" s="64">
        <v>36616</v>
      </c>
      <c r="K59">
        <v>91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 s="30">
        <f t="shared" si="15"/>
        <v>364000</v>
      </c>
      <c r="X59" s="30">
        <f t="shared" si="16"/>
        <v>0</v>
      </c>
      <c r="Y59" s="30">
        <f t="shared" si="17"/>
        <v>0</v>
      </c>
      <c r="Z59" s="30">
        <f t="shared" si="18"/>
        <v>0</v>
      </c>
      <c r="AA59" s="30">
        <f t="shared" si="19"/>
        <v>0</v>
      </c>
      <c r="AB59" s="30">
        <f t="shared" si="20"/>
        <v>0</v>
      </c>
      <c r="AC59" s="30">
        <f t="shared" si="21"/>
        <v>0</v>
      </c>
      <c r="AD59" s="30">
        <f t="shared" si="22"/>
        <v>0</v>
      </c>
      <c r="AE59" s="30">
        <f t="shared" si="23"/>
        <v>0</v>
      </c>
      <c r="AF59" s="30">
        <f t="shared" si="24"/>
        <v>0</v>
      </c>
      <c r="AG59" s="30">
        <f t="shared" si="25"/>
        <v>0</v>
      </c>
    </row>
    <row r="60" spans="1:33" x14ac:dyDescent="0.2">
      <c r="A60" s="112" t="s">
        <v>0</v>
      </c>
      <c r="B60" s="49" t="s">
        <v>106</v>
      </c>
      <c r="C60" s="60">
        <v>25071</v>
      </c>
      <c r="D60" s="121">
        <v>90000</v>
      </c>
      <c r="E60" s="57" t="s">
        <v>115</v>
      </c>
      <c r="F60" s="122">
        <v>0.10199999999999999</v>
      </c>
      <c r="G60" s="122">
        <v>1.1000000000000001E-3</v>
      </c>
      <c r="H60" s="72">
        <f t="shared" ref="H60:H76" si="26">+G60+F60</f>
        <v>0.1031</v>
      </c>
      <c r="I60" s="63">
        <v>36525</v>
      </c>
      <c r="J60" s="64">
        <v>39782</v>
      </c>
      <c r="K60">
        <v>366</v>
      </c>
      <c r="L60">
        <v>365</v>
      </c>
      <c r="M60">
        <v>365</v>
      </c>
      <c r="N60">
        <v>365</v>
      </c>
      <c r="O60">
        <v>366</v>
      </c>
      <c r="P60">
        <v>365</v>
      </c>
      <c r="Q60">
        <v>365</v>
      </c>
      <c r="R60">
        <v>335</v>
      </c>
      <c r="S60">
        <v>0</v>
      </c>
      <c r="T60">
        <v>0</v>
      </c>
      <c r="U60">
        <v>0</v>
      </c>
      <c r="W60" s="30">
        <f t="shared" ref="W60:W90" si="27">+K60*$D60</f>
        <v>32940000</v>
      </c>
      <c r="X60" s="30">
        <f t="shared" ref="X60:X90" si="28">+L60*$D60</f>
        <v>32850000</v>
      </c>
      <c r="Y60" s="30">
        <f t="shared" ref="Y60:Y90" si="29">+M60*$D60</f>
        <v>32850000</v>
      </c>
      <c r="Z60" s="30">
        <f t="shared" ref="Z60:Z90" si="30">+N60*$D60</f>
        <v>32850000</v>
      </c>
      <c r="AA60" s="30">
        <f t="shared" ref="AA60:AA90" si="31">+O60*$D60</f>
        <v>32940000</v>
      </c>
      <c r="AB60" s="30">
        <f t="shared" ref="AB60:AB90" si="32">+P60*$D60</f>
        <v>32850000</v>
      </c>
      <c r="AC60" s="30">
        <f t="shared" ref="AC60:AC90" si="33">+Q60*$D60</f>
        <v>32850000</v>
      </c>
      <c r="AD60" s="30">
        <f t="shared" ref="AD60:AD90" si="34">+R60*$D60</f>
        <v>30150000</v>
      </c>
      <c r="AE60" s="30">
        <f t="shared" ref="AE60:AE90" si="35">+S60*$D60</f>
        <v>0</v>
      </c>
      <c r="AF60" s="30">
        <f t="shared" ref="AF60:AF90" si="36">+T60*$D60</f>
        <v>0</v>
      </c>
      <c r="AG60" s="30">
        <f t="shared" ref="AG60:AG90" si="37">+U60*$D60</f>
        <v>0</v>
      </c>
    </row>
    <row r="61" spans="1:33" x14ac:dyDescent="0.2">
      <c r="A61" s="118" t="s">
        <v>0</v>
      </c>
      <c r="B61" s="49" t="s">
        <v>106</v>
      </c>
      <c r="C61" s="60">
        <v>25700</v>
      </c>
      <c r="D61" s="121">
        <v>25000</v>
      </c>
      <c r="E61" s="57" t="s">
        <v>115</v>
      </c>
      <c r="F61" s="122">
        <v>0.10199999999999999</v>
      </c>
      <c r="G61" s="122">
        <v>1.1000000000000001E-3</v>
      </c>
      <c r="H61" s="72">
        <f t="shared" si="26"/>
        <v>0.1031</v>
      </c>
      <c r="I61" s="63">
        <v>36525</v>
      </c>
      <c r="J61" s="64">
        <v>37621</v>
      </c>
      <c r="K61">
        <v>366</v>
      </c>
      <c r="L61">
        <v>365</v>
      </c>
      <c r="M61">
        <v>365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 t="shared" si="27"/>
        <v>9150000</v>
      </c>
      <c r="X61" s="30">
        <f t="shared" si="28"/>
        <v>9125000</v>
      </c>
      <c r="Y61" s="30">
        <f t="shared" si="29"/>
        <v>9125000</v>
      </c>
      <c r="Z61" s="30">
        <f t="shared" si="30"/>
        <v>0</v>
      </c>
      <c r="AA61" s="30">
        <f t="shared" si="31"/>
        <v>0</v>
      </c>
      <c r="AB61" s="30">
        <f t="shared" si="32"/>
        <v>0</v>
      </c>
      <c r="AC61" s="30">
        <f t="shared" si="33"/>
        <v>0</v>
      </c>
      <c r="AD61" s="30">
        <f t="shared" si="34"/>
        <v>0</v>
      </c>
      <c r="AE61" s="30">
        <f t="shared" si="35"/>
        <v>0</v>
      </c>
      <c r="AF61" s="30">
        <f t="shared" si="36"/>
        <v>0</v>
      </c>
      <c r="AG61" s="30">
        <f t="shared" si="37"/>
        <v>0</v>
      </c>
    </row>
    <row r="62" spans="1:33" x14ac:dyDescent="0.2">
      <c r="A62" s="104" t="s">
        <v>0</v>
      </c>
      <c r="B62" s="10" t="s">
        <v>16</v>
      </c>
      <c r="C62" s="60">
        <v>25025</v>
      </c>
      <c r="D62" s="121">
        <v>80000</v>
      </c>
      <c r="E62" s="57" t="s">
        <v>115</v>
      </c>
      <c r="F62" s="122">
        <v>0.10199999999999999</v>
      </c>
      <c r="G62" s="122">
        <v>1.1000000000000001E-3</v>
      </c>
      <c r="H62" s="72">
        <f t="shared" si="26"/>
        <v>0.1031</v>
      </c>
      <c r="I62" s="63">
        <v>36525</v>
      </c>
      <c r="J62" s="64">
        <v>39051</v>
      </c>
      <c r="K62">
        <v>366</v>
      </c>
      <c r="L62">
        <v>365</v>
      </c>
      <c r="M62">
        <v>365</v>
      </c>
      <c r="N62">
        <v>365</v>
      </c>
      <c r="O62">
        <v>366</v>
      </c>
      <c r="P62">
        <v>365</v>
      </c>
      <c r="Q62">
        <v>334</v>
      </c>
      <c r="R62">
        <v>0</v>
      </c>
      <c r="S62">
        <v>0</v>
      </c>
      <c r="T62">
        <v>0</v>
      </c>
      <c r="U62">
        <v>0</v>
      </c>
      <c r="W62" s="30">
        <f t="shared" si="27"/>
        <v>29280000</v>
      </c>
      <c r="X62" s="30">
        <f t="shared" si="28"/>
        <v>29200000</v>
      </c>
      <c r="Y62" s="30">
        <f t="shared" si="29"/>
        <v>29200000</v>
      </c>
      <c r="Z62" s="30">
        <f t="shared" si="30"/>
        <v>29200000</v>
      </c>
      <c r="AA62" s="30">
        <f t="shared" si="31"/>
        <v>29280000</v>
      </c>
      <c r="AB62" s="30">
        <f t="shared" si="32"/>
        <v>29200000</v>
      </c>
      <c r="AC62" s="30">
        <f t="shared" si="33"/>
        <v>26720000</v>
      </c>
      <c r="AD62" s="30">
        <f t="shared" si="34"/>
        <v>0</v>
      </c>
      <c r="AE62" s="30">
        <f t="shared" si="35"/>
        <v>0</v>
      </c>
      <c r="AF62" s="30">
        <f t="shared" si="36"/>
        <v>0</v>
      </c>
      <c r="AG62" s="30">
        <f t="shared" si="37"/>
        <v>0</v>
      </c>
    </row>
    <row r="63" spans="1:33" x14ac:dyDescent="0.2">
      <c r="A63" s="113" t="s">
        <v>0</v>
      </c>
      <c r="B63" s="24" t="s">
        <v>51</v>
      </c>
      <c r="C63" s="60">
        <v>24216</v>
      </c>
      <c r="D63" s="121">
        <v>55000</v>
      </c>
      <c r="E63" s="57" t="s">
        <v>115</v>
      </c>
      <c r="F63" s="122">
        <v>0.10199999999999999</v>
      </c>
      <c r="G63" s="122">
        <v>1.1000000000000001E-3</v>
      </c>
      <c r="H63" s="72">
        <f t="shared" si="26"/>
        <v>0.1031</v>
      </c>
      <c r="I63" s="63">
        <v>36525</v>
      </c>
      <c r="J63" s="64">
        <v>36585</v>
      </c>
      <c r="K63">
        <v>60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 s="30">
        <f t="shared" si="27"/>
        <v>3300000</v>
      </c>
      <c r="X63" s="30">
        <f t="shared" si="28"/>
        <v>0</v>
      </c>
      <c r="Y63" s="30">
        <f t="shared" si="29"/>
        <v>0</v>
      </c>
      <c r="Z63" s="30">
        <f t="shared" si="30"/>
        <v>0</v>
      </c>
      <c r="AA63" s="30">
        <f t="shared" si="31"/>
        <v>0</v>
      </c>
      <c r="AB63" s="30">
        <f t="shared" si="32"/>
        <v>0</v>
      </c>
      <c r="AC63" s="30">
        <f t="shared" si="33"/>
        <v>0</v>
      </c>
      <c r="AD63" s="30">
        <f t="shared" si="34"/>
        <v>0</v>
      </c>
      <c r="AE63" s="30">
        <f t="shared" si="35"/>
        <v>0</v>
      </c>
      <c r="AF63" s="30">
        <f t="shared" si="36"/>
        <v>0</v>
      </c>
      <c r="AG63" s="30">
        <f t="shared" si="37"/>
        <v>0</v>
      </c>
    </row>
    <row r="64" spans="1:33" x14ac:dyDescent="0.2">
      <c r="A64" s="118" t="s">
        <v>0</v>
      </c>
      <c r="B64" s="10" t="s">
        <v>59</v>
      </c>
      <c r="C64" s="60">
        <v>27458</v>
      </c>
      <c r="D64" s="121">
        <v>14000</v>
      </c>
      <c r="E64" s="56" t="s">
        <v>122</v>
      </c>
      <c r="F64" s="122">
        <v>0.10199999999999999</v>
      </c>
      <c r="G64" s="122">
        <v>1.1000000000000001E-3</v>
      </c>
      <c r="H64" s="72">
        <f t="shared" si="26"/>
        <v>0.1031</v>
      </c>
      <c r="I64" s="63">
        <v>37621</v>
      </c>
      <c r="J64" s="64">
        <v>38717</v>
      </c>
      <c r="K64">
        <v>0</v>
      </c>
      <c r="L64">
        <v>0</v>
      </c>
      <c r="M64">
        <v>0</v>
      </c>
      <c r="N64">
        <v>365</v>
      </c>
      <c r="O64">
        <v>366</v>
      </c>
      <c r="P64">
        <v>365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27"/>
        <v>0</v>
      </c>
      <c r="X64" s="30">
        <f t="shared" si="28"/>
        <v>0</v>
      </c>
      <c r="Y64" s="30">
        <f t="shared" si="29"/>
        <v>0</v>
      </c>
      <c r="Z64" s="30">
        <f t="shared" si="30"/>
        <v>5110000</v>
      </c>
      <c r="AA64" s="30">
        <f t="shared" si="31"/>
        <v>5124000</v>
      </c>
      <c r="AB64" s="30">
        <f t="shared" si="32"/>
        <v>5110000</v>
      </c>
      <c r="AC64" s="30">
        <f t="shared" si="33"/>
        <v>0</v>
      </c>
      <c r="AD64" s="30">
        <f t="shared" si="34"/>
        <v>0</v>
      </c>
      <c r="AE64" s="30">
        <f t="shared" si="35"/>
        <v>0</v>
      </c>
      <c r="AF64" s="30">
        <f t="shared" si="36"/>
        <v>0</v>
      </c>
      <c r="AG64" s="30">
        <f t="shared" si="37"/>
        <v>0</v>
      </c>
    </row>
    <row r="65" spans="1:33" x14ac:dyDescent="0.2">
      <c r="A65" s="113" t="s">
        <v>0</v>
      </c>
      <c r="B65" s="10" t="s">
        <v>17</v>
      </c>
      <c r="C65" s="60">
        <v>26519</v>
      </c>
      <c r="D65" s="121">
        <v>25000</v>
      </c>
      <c r="E65" s="56" t="s">
        <v>117</v>
      </c>
      <c r="F65" s="122">
        <v>0.1052</v>
      </c>
      <c r="G65" s="122">
        <v>1.1000000000000001E-3</v>
      </c>
      <c r="H65" s="72">
        <f t="shared" si="26"/>
        <v>0.10630000000000001</v>
      </c>
      <c r="I65" s="63">
        <v>36525</v>
      </c>
      <c r="J65" s="64">
        <v>39141</v>
      </c>
      <c r="K65">
        <v>366</v>
      </c>
      <c r="L65">
        <v>365</v>
      </c>
      <c r="M65">
        <v>365</v>
      </c>
      <c r="N65">
        <v>365</v>
      </c>
      <c r="O65">
        <v>366</v>
      </c>
      <c r="P65">
        <v>365</v>
      </c>
      <c r="Q65">
        <v>365</v>
      </c>
      <c r="R65">
        <v>59</v>
      </c>
      <c r="S65">
        <v>0</v>
      </c>
      <c r="T65">
        <v>0</v>
      </c>
      <c r="U65">
        <v>0</v>
      </c>
      <c r="W65" s="30">
        <f t="shared" si="27"/>
        <v>9150000</v>
      </c>
      <c r="X65" s="30">
        <f t="shared" si="28"/>
        <v>9125000</v>
      </c>
      <c r="Y65" s="30">
        <f t="shared" si="29"/>
        <v>9125000</v>
      </c>
      <c r="Z65" s="30">
        <f t="shared" si="30"/>
        <v>9125000</v>
      </c>
      <c r="AA65" s="30">
        <f t="shared" si="31"/>
        <v>9150000</v>
      </c>
      <c r="AB65" s="30">
        <f t="shared" si="32"/>
        <v>9125000</v>
      </c>
      <c r="AC65" s="30">
        <f t="shared" si="33"/>
        <v>9125000</v>
      </c>
      <c r="AD65" s="30">
        <f t="shared" si="34"/>
        <v>1475000</v>
      </c>
      <c r="AE65" s="30">
        <f t="shared" si="35"/>
        <v>0</v>
      </c>
      <c r="AF65" s="30">
        <f t="shared" si="36"/>
        <v>0</v>
      </c>
      <c r="AG65" s="30">
        <f t="shared" si="37"/>
        <v>0</v>
      </c>
    </row>
    <row r="66" spans="1:33" x14ac:dyDescent="0.2">
      <c r="A66" s="118" t="s">
        <v>0</v>
      </c>
      <c r="B66" s="10" t="s">
        <v>34</v>
      </c>
      <c r="C66" s="60">
        <v>27566</v>
      </c>
      <c r="D66" s="121">
        <v>20000</v>
      </c>
      <c r="E66" s="56" t="s">
        <v>118</v>
      </c>
      <c r="F66" s="122">
        <v>0.10199999999999999</v>
      </c>
      <c r="G66" s="122">
        <v>1.1000000000000001E-3</v>
      </c>
      <c r="H66" s="72">
        <f t="shared" si="26"/>
        <v>0.1031</v>
      </c>
      <c r="I66" s="63">
        <v>37316</v>
      </c>
      <c r="J66" s="64">
        <v>39172</v>
      </c>
      <c r="K66">
        <v>0</v>
      </c>
      <c r="L66">
        <v>0</v>
      </c>
      <c r="M66">
        <v>306</v>
      </c>
      <c r="N66">
        <v>365</v>
      </c>
      <c r="O66">
        <v>366</v>
      </c>
      <c r="P66">
        <v>365</v>
      </c>
      <c r="Q66">
        <v>365</v>
      </c>
      <c r="R66">
        <v>90</v>
      </c>
      <c r="S66">
        <v>0</v>
      </c>
      <c r="T66">
        <v>0</v>
      </c>
      <c r="U66">
        <v>0</v>
      </c>
      <c r="W66" s="30">
        <f t="shared" si="27"/>
        <v>0</v>
      </c>
      <c r="X66" s="30">
        <f t="shared" si="28"/>
        <v>0</v>
      </c>
      <c r="Y66" s="30">
        <f t="shared" si="29"/>
        <v>6120000</v>
      </c>
      <c r="Z66" s="30">
        <f t="shared" si="30"/>
        <v>7300000</v>
      </c>
      <c r="AA66" s="30">
        <f t="shared" si="31"/>
        <v>7320000</v>
      </c>
      <c r="AB66" s="30">
        <f t="shared" si="32"/>
        <v>7300000</v>
      </c>
      <c r="AC66" s="30">
        <f t="shared" si="33"/>
        <v>7300000</v>
      </c>
      <c r="AD66" s="30">
        <f t="shared" si="34"/>
        <v>1800000</v>
      </c>
      <c r="AE66" s="30">
        <f t="shared" si="35"/>
        <v>0</v>
      </c>
      <c r="AF66" s="30">
        <f t="shared" si="36"/>
        <v>0</v>
      </c>
      <c r="AG66" s="30">
        <f t="shared" si="37"/>
        <v>0</v>
      </c>
    </row>
    <row r="67" spans="1:33" x14ac:dyDescent="0.2">
      <c r="A67" s="113" t="s">
        <v>0</v>
      </c>
      <c r="B67" s="10" t="s">
        <v>12</v>
      </c>
      <c r="C67" s="60">
        <v>20835</v>
      </c>
      <c r="D67" s="121">
        <v>20000</v>
      </c>
      <c r="E67" s="56" t="s">
        <v>117</v>
      </c>
      <c r="F67" s="122">
        <v>0.1052</v>
      </c>
      <c r="G67" s="122">
        <v>1.1000000000000001E-3</v>
      </c>
      <c r="H67" s="72">
        <f t="shared" si="26"/>
        <v>0.10630000000000001</v>
      </c>
      <c r="I67" s="63">
        <v>36525</v>
      </c>
      <c r="J67" s="64">
        <v>37315</v>
      </c>
      <c r="K67">
        <v>366</v>
      </c>
      <c r="L67">
        <v>365</v>
      </c>
      <c r="M67">
        <v>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27"/>
        <v>7320000</v>
      </c>
      <c r="X67" s="30">
        <f t="shared" si="28"/>
        <v>7300000</v>
      </c>
      <c r="Y67" s="30">
        <f t="shared" si="29"/>
        <v>1180000</v>
      </c>
      <c r="Z67" s="30">
        <f t="shared" si="30"/>
        <v>0</v>
      </c>
      <c r="AA67" s="30">
        <f t="shared" si="31"/>
        <v>0</v>
      </c>
      <c r="AB67" s="30">
        <f t="shared" si="32"/>
        <v>0</v>
      </c>
      <c r="AC67" s="30">
        <f t="shared" si="33"/>
        <v>0</v>
      </c>
      <c r="AD67" s="30">
        <f t="shared" si="34"/>
        <v>0</v>
      </c>
      <c r="AE67" s="30">
        <f t="shared" si="35"/>
        <v>0</v>
      </c>
      <c r="AF67" s="30">
        <f t="shared" si="36"/>
        <v>0</v>
      </c>
      <c r="AG67" s="30">
        <f t="shared" si="37"/>
        <v>0</v>
      </c>
    </row>
    <row r="68" spans="1:33" x14ac:dyDescent="0.2">
      <c r="A68" s="113" t="s">
        <v>0</v>
      </c>
      <c r="B68" s="10" t="s">
        <v>64</v>
      </c>
      <c r="C68" s="60">
        <v>26371</v>
      </c>
      <c r="D68" s="121">
        <v>25000</v>
      </c>
      <c r="E68" s="56" t="s">
        <v>117</v>
      </c>
      <c r="F68" s="122">
        <v>0.1052</v>
      </c>
      <c r="G68" s="122">
        <v>1.1000000000000001E-3</v>
      </c>
      <c r="H68" s="72">
        <f t="shared" si="26"/>
        <v>0.10630000000000001</v>
      </c>
      <c r="I68" s="63">
        <v>36525</v>
      </c>
      <c r="J68" s="64">
        <v>39172</v>
      </c>
      <c r="K68">
        <v>366</v>
      </c>
      <c r="L68">
        <v>365</v>
      </c>
      <c r="M68">
        <v>365</v>
      </c>
      <c r="N68">
        <v>365</v>
      </c>
      <c r="O68">
        <v>366</v>
      </c>
      <c r="P68">
        <v>365</v>
      </c>
      <c r="Q68">
        <v>365</v>
      </c>
      <c r="R68">
        <v>90</v>
      </c>
      <c r="S68">
        <v>0</v>
      </c>
      <c r="T68">
        <v>0</v>
      </c>
      <c r="U68">
        <v>0</v>
      </c>
      <c r="W68" s="30">
        <f t="shared" si="27"/>
        <v>9150000</v>
      </c>
      <c r="X68" s="30">
        <f t="shared" si="28"/>
        <v>9125000</v>
      </c>
      <c r="Y68" s="30">
        <f t="shared" si="29"/>
        <v>9125000</v>
      </c>
      <c r="Z68" s="30">
        <f t="shared" si="30"/>
        <v>9125000</v>
      </c>
      <c r="AA68" s="30">
        <f t="shared" si="31"/>
        <v>9150000</v>
      </c>
      <c r="AB68" s="30">
        <f t="shared" si="32"/>
        <v>9125000</v>
      </c>
      <c r="AC68" s="30">
        <f t="shared" si="33"/>
        <v>9125000</v>
      </c>
      <c r="AD68" s="30">
        <f t="shared" si="34"/>
        <v>2250000</v>
      </c>
      <c r="AE68" s="30">
        <f t="shared" si="35"/>
        <v>0</v>
      </c>
      <c r="AF68" s="30">
        <f t="shared" si="36"/>
        <v>0</v>
      </c>
      <c r="AG68" s="30">
        <f t="shared" si="37"/>
        <v>0</v>
      </c>
    </row>
    <row r="69" spans="1:33" x14ac:dyDescent="0.2">
      <c r="A69" s="118" t="s">
        <v>0</v>
      </c>
      <c r="B69" s="10" t="s">
        <v>56</v>
      </c>
      <c r="C69" s="60">
        <v>27453</v>
      </c>
      <c r="D69" s="121">
        <v>35000</v>
      </c>
      <c r="E69" s="56" t="s">
        <v>122</v>
      </c>
      <c r="F69" s="122">
        <v>0.10199999999999999</v>
      </c>
      <c r="G69" s="122">
        <v>1.1000000000000001E-3</v>
      </c>
      <c r="H69" s="72">
        <f t="shared" si="26"/>
        <v>0.1031</v>
      </c>
      <c r="I69" s="63">
        <v>37621</v>
      </c>
      <c r="J69" s="64">
        <v>37986</v>
      </c>
      <c r="K69">
        <v>0</v>
      </c>
      <c r="L69">
        <v>0</v>
      </c>
      <c r="M69">
        <v>0</v>
      </c>
      <c r="N69">
        <v>365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27"/>
        <v>0</v>
      </c>
      <c r="X69" s="30">
        <f t="shared" si="28"/>
        <v>0</v>
      </c>
      <c r="Y69" s="30">
        <f t="shared" si="29"/>
        <v>0</v>
      </c>
      <c r="Z69" s="30">
        <f t="shared" si="30"/>
        <v>12775000</v>
      </c>
      <c r="AA69" s="30">
        <f t="shared" si="31"/>
        <v>0</v>
      </c>
      <c r="AB69" s="30">
        <f t="shared" si="32"/>
        <v>0</v>
      </c>
      <c r="AC69" s="30">
        <f t="shared" si="33"/>
        <v>0</v>
      </c>
      <c r="AD69" s="30">
        <f t="shared" si="34"/>
        <v>0</v>
      </c>
      <c r="AE69" s="30">
        <f t="shared" si="35"/>
        <v>0</v>
      </c>
      <c r="AF69" s="30">
        <f t="shared" si="36"/>
        <v>0</v>
      </c>
      <c r="AG69" s="30">
        <f t="shared" si="37"/>
        <v>0</v>
      </c>
    </row>
    <row r="70" spans="1:33" x14ac:dyDescent="0.2">
      <c r="A70" s="118" t="s">
        <v>0</v>
      </c>
      <c r="B70" s="10" t="s">
        <v>56</v>
      </c>
      <c r="C70" s="60">
        <v>27456</v>
      </c>
      <c r="D70" s="121">
        <v>21500</v>
      </c>
      <c r="E70" s="56" t="s">
        <v>122</v>
      </c>
      <c r="F70" s="122">
        <v>0.10199999999999999</v>
      </c>
      <c r="G70" s="122">
        <v>1.1000000000000001E-3</v>
      </c>
      <c r="H70" s="72">
        <f t="shared" si="26"/>
        <v>0.1031</v>
      </c>
      <c r="I70" s="63">
        <v>37560</v>
      </c>
      <c r="J70" s="64">
        <v>37621</v>
      </c>
      <c r="K70">
        <v>0</v>
      </c>
      <c r="L70">
        <v>0</v>
      </c>
      <c r="M70">
        <v>61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 s="30">
        <f t="shared" si="27"/>
        <v>0</v>
      </c>
      <c r="X70" s="30">
        <f t="shared" si="28"/>
        <v>0</v>
      </c>
      <c r="Y70" s="30">
        <f t="shared" si="29"/>
        <v>1311500</v>
      </c>
      <c r="Z70" s="30">
        <f t="shared" si="30"/>
        <v>0</v>
      </c>
      <c r="AA70" s="30">
        <f t="shared" si="31"/>
        <v>0</v>
      </c>
      <c r="AB70" s="30">
        <f t="shared" si="32"/>
        <v>0</v>
      </c>
      <c r="AC70" s="30">
        <f t="shared" si="33"/>
        <v>0</v>
      </c>
      <c r="AD70" s="30">
        <f t="shared" si="34"/>
        <v>0</v>
      </c>
      <c r="AE70" s="30">
        <f t="shared" si="35"/>
        <v>0</v>
      </c>
      <c r="AF70" s="30">
        <f t="shared" si="36"/>
        <v>0</v>
      </c>
      <c r="AG70" s="30">
        <f t="shared" si="37"/>
        <v>0</v>
      </c>
    </row>
    <row r="71" spans="1:33" x14ac:dyDescent="0.2">
      <c r="A71" s="118" t="s">
        <v>0</v>
      </c>
      <c r="B71" s="10" t="s">
        <v>56</v>
      </c>
      <c r="C71" s="60">
        <v>27457</v>
      </c>
      <c r="D71" s="121">
        <v>13500</v>
      </c>
      <c r="E71" s="56" t="s">
        <v>122</v>
      </c>
      <c r="F71" s="122">
        <v>0.10199999999999999</v>
      </c>
      <c r="G71" s="122">
        <v>1.1000000000000001E-3</v>
      </c>
      <c r="H71" s="72">
        <f t="shared" si="26"/>
        <v>0.1031</v>
      </c>
      <c r="I71" s="63">
        <v>37225</v>
      </c>
      <c r="J71" s="64">
        <v>37256</v>
      </c>
      <c r="K71">
        <v>0</v>
      </c>
      <c r="L71">
        <v>31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27"/>
        <v>0</v>
      </c>
      <c r="X71" s="30">
        <f t="shared" si="28"/>
        <v>418500</v>
      </c>
      <c r="Y71" s="30">
        <f t="shared" si="29"/>
        <v>0</v>
      </c>
      <c r="Z71" s="30">
        <f t="shared" si="30"/>
        <v>0</v>
      </c>
      <c r="AA71" s="30">
        <f t="shared" si="31"/>
        <v>0</v>
      </c>
      <c r="AB71" s="30">
        <f t="shared" si="32"/>
        <v>0</v>
      </c>
      <c r="AC71" s="30">
        <f t="shared" si="33"/>
        <v>0</v>
      </c>
      <c r="AD71" s="30">
        <f t="shared" si="34"/>
        <v>0</v>
      </c>
      <c r="AE71" s="30">
        <f t="shared" si="35"/>
        <v>0</v>
      </c>
      <c r="AF71" s="30">
        <f t="shared" si="36"/>
        <v>0</v>
      </c>
      <c r="AG71" s="30">
        <f t="shared" si="37"/>
        <v>0</v>
      </c>
    </row>
    <row r="72" spans="1:33" x14ac:dyDescent="0.2">
      <c r="A72" s="108" t="s">
        <v>0</v>
      </c>
      <c r="B72" s="10" t="s">
        <v>21</v>
      </c>
      <c r="C72" s="60">
        <v>24654</v>
      </c>
      <c r="D72" s="121">
        <v>8000</v>
      </c>
      <c r="E72" s="57" t="s">
        <v>115</v>
      </c>
      <c r="F72" s="122">
        <v>0.10199999999999999</v>
      </c>
      <c r="G72" s="122">
        <v>1.1000000000000001E-3</v>
      </c>
      <c r="H72" s="72">
        <f t="shared" si="26"/>
        <v>0.1031</v>
      </c>
      <c r="I72" s="63">
        <v>36525</v>
      </c>
      <c r="J72" s="64">
        <v>37256</v>
      </c>
      <c r="K72">
        <v>366</v>
      </c>
      <c r="L72">
        <v>365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27"/>
        <v>2928000</v>
      </c>
      <c r="X72" s="30">
        <f t="shared" si="28"/>
        <v>2920000</v>
      </c>
      <c r="Y72" s="30">
        <f t="shared" si="29"/>
        <v>0</v>
      </c>
      <c r="Z72" s="30">
        <f t="shared" si="30"/>
        <v>0</v>
      </c>
      <c r="AA72" s="30">
        <f t="shared" si="31"/>
        <v>0</v>
      </c>
      <c r="AB72" s="30">
        <f t="shared" si="32"/>
        <v>0</v>
      </c>
      <c r="AC72" s="30">
        <f t="shared" si="33"/>
        <v>0</v>
      </c>
      <c r="AD72" s="30">
        <f t="shared" si="34"/>
        <v>0</v>
      </c>
      <c r="AE72" s="30">
        <f t="shared" si="35"/>
        <v>0</v>
      </c>
      <c r="AF72" s="30">
        <f t="shared" si="36"/>
        <v>0</v>
      </c>
      <c r="AG72" s="30">
        <f t="shared" si="37"/>
        <v>0</v>
      </c>
    </row>
    <row r="73" spans="1:33" x14ac:dyDescent="0.2">
      <c r="A73" s="108" t="s">
        <v>0</v>
      </c>
      <c r="B73" s="42" t="s">
        <v>94</v>
      </c>
      <c r="C73" s="60">
        <v>24568</v>
      </c>
      <c r="D73" s="121">
        <v>32000</v>
      </c>
      <c r="E73" s="57" t="s">
        <v>115</v>
      </c>
      <c r="F73" s="122">
        <v>0.10199999999999999</v>
      </c>
      <c r="G73" s="122">
        <v>1.1000000000000001E-3</v>
      </c>
      <c r="H73" s="72">
        <f t="shared" si="26"/>
        <v>0.1031</v>
      </c>
      <c r="I73" s="63">
        <v>36525</v>
      </c>
      <c r="J73" s="64">
        <v>37256</v>
      </c>
      <c r="K73">
        <v>366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27"/>
        <v>11712000</v>
      </c>
      <c r="X73" s="30">
        <f t="shared" si="28"/>
        <v>11680000</v>
      </c>
      <c r="Y73" s="30">
        <f t="shared" si="29"/>
        <v>0</v>
      </c>
      <c r="Z73" s="30">
        <f t="shared" si="30"/>
        <v>0</v>
      </c>
      <c r="AA73" s="30">
        <f t="shared" si="31"/>
        <v>0</v>
      </c>
      <c r="AB73" s="30">
        <f t="shared" si="32"/>
        <v>0</v>
      </c>
      <c r="AC73" s="30">
        <f t="shared" si="33"/>
        <v>0</v>
      </c>
      <c r="AD73" s="30">
        <f t="shared" si="34"/>
        <v>0</v>
      </c>
      <c r="AE73" s="30">
        <f t="shared" si="35"/>
        <v>0</v>
      </c>
      <c r="AF73" s="30">
        <f t="shared" si="36"/>
        <v>0</v>
      </c>
      <c r="AG73" s="30">
        <f t="shared" si="37"/>
        <v>0</v>
      </c>
    </row>
    <row r="74" spans="1:33" x14ac:dyDescent="0.2">
      <c r="A74" s="118" t="s">
        <v>0</v>
      </c>
      <c r="B74" s="10" t="s">
        <v>14</v>
      </c>
      <c r="C74" s="60">
        <v>26125</v>
      </c>
      <c r="D74" s="121">
        <v>8600</v>
      </c>
      <c r="E74" s="57" t="s">
        <v>115</v>
      </c>
      <c r="F74" s="122">
        <v>0.10199999999999999</v>
      </c>
      <c r="G74" s="122">
        <v>1.1000000000000001E-3</v>
      </c>
      <c r="H74" s="72">
        <f t="shared" si="26"/>
        <v>0.1031</v>
      </c>
      <c r="I74" s="63">
        <v>36525</v>
      </c>
      <c r="J74" s="64">
        <v>37772</v>
      </c>
      <c r="K74">
        <v>366</v>
      </c>
      <c r="L74">
        <v>365</v>
      </c>
      <c r="M74">
        <v>365</v>
      </c>
      <c r="N74">
        <v>151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27"/>
        <v>3147600</v>
      </c>
      <c r="X74" s="30">
        <f t="shared" si="28"/>
        <v>3139000</v>
      </c>
      <c r="Y74" s="30">
        <f t="shared" si="29"/>
        <v>3139000</v>
      </c>
      <c r="Z74" s="30">
        <f t="shared" si="30"/>
        <v>1298600</v>
      </c>
      <c r="AA74" s="30">
        <f t="shared" si="31"/>
        <v>0</v>
      </c>
      <c r="AB74" s="30">
        <f t="shared" si="32"/>
        <v>0</v>
      </c>
      <c r="AC74" s="30">
        <f t="shared" si="33"/>
        <v>0</v>
      </c>
      <c r="AD74" s="30">
        <f t="shared" si="34"/>
        <v>0</v>
      </c>
      <c r="AE74" s="30">
        <f t="shared" si="35"/>
        <v>0</v>
      </c>
      <c r="AF74" s="30">
        <f t="shared" si="36"/>
        <v>0</v>
      </c>
      <c r="AG74" s="30">
        <f t="shared" si="37"/>
        <v>0</v>
      </c>
    </row>
    <row r="75" spans="1:33" x14ac:dyDescent="0.2">
      <c r="A75" s="118" t="s">
        <v>0</v>
      </c>
      <c r="B75" s="10" t="s">
        <v>54</v>
      </c>
      <c r="C75" s="60">
        <v>26884</v>
      </c>
      <c r="D75" s="121">
        <v>40000</v>
      </c>
      <c r="E75" s="57" t="s">
        <v>115</v>
      </c>
      <c r="F75" s="122">
        <v>0.10199999999999999</v>
      </c>
      <c r="G75" s="122">
        <v>1.1000000000000001E-3</v>
      </c>
      <c r="H75" s="72">
        <f t="shared" si="26"/>
        <v>0.1031</v>
      </c>
      <c r="I75" s="63">
        <v>36646</v>
      </c>
      <c r="J75" s="64">
        <v>38656</v>
      </c>
      <c r="K75">
        <v>245</v>
      </c>
      <c r="L75">
        <v>365</v>
      </c>
      <c r="M75">
        <v>365</v>
      </c>
      <c r="N75">
        <v>365</v>
      </c>
      <c r="O75">
        <v>366</v>
      </c>
      <c r="P75">
        <v>304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27"/>
        <v>9800000</v>
      </c>
      <c r="X75" s="30">
        <f t="shared" si="28"/>
        <v>14600000</v>
      </c>
      <c r="Y75" s="30">
        <f t="shared" si="29"/>
        <v>14600000</v>
      </c>
      <c r="Z75" s="30">
        <f t="shared" si="30"/>
        <v>14600000</v>
      </c>
      <c r="AA75" s="30">
        <f t="shared" si="31"/>
        <v>14640000</v>
      </c>
      <c r="AB75" s="30">
        <f t="shared" si="32"/>
        <v>12160000</v>
      </c>
      <c r="AC75" s="30">
        <f t="shared" si="33"/>
        <v>0</v>
      </c>
      <c r="AD75" s="30">
        <f t="shared" si="34"/>
        <v>0</v>
      </c>
      <c r="AE75" s="30">
        <f t="shared" si="35"/>
        <v>0</v>
      </c>
      <c r="AF75" s="30">
        <f t="shared" si="36"/>
        <v>0</v>
      </c>
      <c r="AG75" s="30">
        <f t="shared" si="37"/>
        <v>0</v>
      </c>
    </row>
    <row r="76" spans="1:33" x14ac:dyDescent="0.2">
      <c r="A76" s="113" t="s">
        <v>0</v>
      </c>
      <c r="B76" s="10" t="s">
        <v>65</v>
      </c>
      <c r="C76" s="60">
        <v>26677</v>
      </c>
      <c r="D76" s="121">
        <v>25000</v>
      </c>
      <c r="E76" s="57" t="s">
        <v>115</v>
      </c>
      <c r="F76" s="122">
        <v>0.1052</v>
      </c>
      <c r="G76" s="122">
        <v>1.1000000000000001E-3</v>
      </c>
      <c r="H76" s="72">
        <f t="shared" si="26"/>
        <v>0.10630000000000001</v>
      </c>
      <c r="I76" s="63">
        <v>36525</v>
      </c>
      <c r="J76" s="64">
        <v>39172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365</v>
      </c>
      <c r="R76">
        <v>90</v>
      </c>
      <c r="S76">
        <v>0</v>
      </c>
      <c r="T76">
        <v>0</v>
      </c>
      <c r="U76">
        <v>0</v>
      </c>
      <c r="W76" s="30">
        <f t="shared" si="27"/>
        <v>9150000</v>
      </c>
      <c r="X76" s="30">
        <f t="shared" si="28"/>
        <v>9125000</v>
      </c>
      <c r="Y76" s="30">
        <f t="shared" si="29"/>
        <v>9125000</v>
      </c>
      <c r="Z76" s="30">
        <f t="shared" si="30"/>
        <v>9125000</v>
      </c>
      <c r="AA76" s="30">
        <f t="shared" si="31"/>
        <v>9150000</v>
      </c>
      <c r="AB76" s="30">
        <f t="shared" si="32"/>
        <v>9125000</v>
      </c>
      <c r="AC76" s="30">
        <f t="shared" si="33"/>
        <v>9125000</v>
      </c>
      <c r="AD76" s="30">
        <f t="shared" si="34"/>
        <v>2250000</v>
      </c>
      <c r="AE76" s="30">
        <f t="shared" si="35"/>
        <v>0</v>
      </c>
      <c r="AF76" s="30">
        <f t="shared" si="36"/>
        <v>0</v>
      </c>
      <c r="AG76" s="30">
        <f t="shared" si="37"/>
        <v>0</v>
      </c>
    </row>
    <row r="77" spans="1:33" x14ac:dyDescent="0.2">
      <c r="A77" s="113" t="s">
        <v>0</v>
      </c>
      <c r="B77" s="10" t="s">
        <v>53</v>
      </c>
      <c r="C77" s="60">
        <v>21372</v>
      </c>
      <c r="D77" s="121">
        <v>1346</v>
      </c>
      <c r="E77" s="56" t="s">
        <v>124</v>
      </c>
      <c r="F77" s="122">
        <v>0</v>
      </c>
      <c r="G77" s="122">
        <v>0</v>
      </c>
      <c r="H77" s="72">
        <v>0.1328</v>
      </c>
      <c r="I77" s="63">
        <v>36525</v>
      </c>
      <c r="J77" s="64">
        <v>37986</v>
      </c>
      <c r="K77">
        <v>366</v>
      </c>
      <c r="L77">
        <v>365</v>
      </c>
      <c r="M77">
        <v>365</v>
      </c>
      <c r="N77">
        <v>365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27"/>
        <v>492636</v>
      </c>
      <c r="X77" s="30">
        <f t="shared" si="28"/>
        <v>491290</v>
      </c>
      <c r="Y77" s="30">
        <f t="shared" si="29"/>
        <v>491290</v>
      </c>
      <c r="Z77" s="30">
        <f t="shared" si="30"/>
        <v>491290</v>
      </c>
      <c r="AA77" s="30">
        <f t="shared" si="31"/>
        <v>0</v>
      </c>
      <c r="AB77" s="30">
        <f t="shared" si="32"/>
        <v>0</v>
      </c>
      <c r="AC77" s="30">
        <f t="shared" si="33"/>
        <v>0</v>
      </c>
      <c r="AD77" s="30">
        <f t="shared" si="34"/>
        <v>0</v>
      </c>
      <c r="AE77" s="30">
        <f t="shared" si="35"/>
        <v>0</v>
      </c>
      <c r="AF77" s="30">
        <f t="shared" si="36"/>
        <v>0</v>
      </c>
      <c r="AG77" s="30">
        <f t="shared" si="37"/>
        <v>0</v>
      </c>
    </row>
    <row r="78" spans="1:33" x14ac:dyDescent="0.2">
      <c r="A78" s="118" t="s">
        <v>0</v>
      </c>
      <c r="B78" s="10" t="s">
        <v>29</v>
      </c>
      <c r="C78" s="60">
        <v>26813</v>
      </c>
      <c r="D78" s="121">
        <v>3500</v>
      </c>
      <c r="E78" s="57" t="s">
        <v>115</v>
      </c>
      <c r="F78" s="122">
        <v>0.10199999999999999</v>
      </c>
      <c r="G78" s="122">
        <v>1.1000000000000001E-3</v>
      </c>
      <c r="H78" s="72">
        <f>+G78+F78</f>
        <v>0.1031</v>
      </c>
      <c r="I78" s="63">
        <v>36646</v>
      </c>
      <c r="J78" s="64">
        <v>39506</v>
      </c>
      <c r="K78">
        <v>245</v>
      </c>
      <c r="L78">
        <v>365</v>
      </c>
      <c r="M78">
        <v>365</v>
      </c>
      <c r="N78">
        <v>365</v>
      </c>
      <c r="O78">
        <v>366</v>
      </c>
      <c r="P78">
        <v>365</v>
      </c>
      <c r="Q78">
        <v>365</v>
      </c>
      <c r="R78">
        <v>59</v>
      </c>
      <c r="S78">
        <v>0</v>
      </c>
      <c r="T78">
        <v>0</v>
      </c>
      <c r="U78">
        <v>0</v>
      </c>
      <c r="W78" s="30">
        <f t="shared" si="27"/>
        <v>857500</v>
      </c>
      <c r="X78" s="30">
        <f t="shared" si="28"/>
        <v>1277500</v>
      </c>
      <c r="Y78" s="30">
        <f t="shared" si="29"/>
        <v>1277500</v>
      </c>
      <c r="Z78" s="30">
        <f t="shared" si="30"/>
        <v>1277500</v>
      </c>
      <c r="AA78" s="30">
        <f t="shared" si="31"/>
        <v>1281000</v>
      </c>
      <c r="AB78" s="30">
        <f t="shared" si="32"/>
        <v>1277500</v>
      </c>
      <c r="AC78" s="30">
        <f t="shared" si="33"/>
        <v>1277500</v>
      </c>
      <c r="AD78" s="30">
        <f t="shared" si="34"/>
        <v>206500</v>
      </c>
      <c r="AE78" s="30">
        <f t="shared" si="35"/>
        <v>0</v>
      </c>
      <c r="AF78" s="30">
        <f t="shared" si="36"/>
        <v>0</v>
      </c>
      <c r="AG78" s="30">
        <f t="shared" si="37"/>
        <v>0</v>
      </c>
    </row>
    <row r="79" spans="1:33" x14ac:dyDescent="0.2">
      <c r="A79" s="113" t="s">
        <v>0</v>
      </c>
      <c r="B79" s="10" t="s">
        <v>22</v>
      </c>
      <c r="C79" s="60">
        <v>21175</v>
      </c>
      <c r="D79" s="121">
        <v>150000</v>
      </c>
      <c r="E79" s="56" t="s">
        <v>123</v>
      </c>
      <c r="F79" s="122">
        <v>0.1052</v>
      </c>
      <c r="G79" s="122">
        <v>1.1000000000000001E-3</v>
      </c>
      <c r="H79" s="72">
        <f t="shared" ref="H79:H90" si="38">+G79+F79</f>
        <v>0.10630000000000001</v>
      </c>
      <c r="I79" s="63">
        <v>36525</v>
      </c>
      <c r="J79" s="64">
        <v>39172</v>
      </c>
      <c r="K79">
        <v>366</v>
      </c>
      <c r="L79">
        <v>365</v>
      </c>
      <c r="M79">
        <v>365</v>
      </c>
      <c r="N79">
        <v>365</v>
      </c>
      <c r="O79">
        <v>366</v>
      </c>
      <c r="P79">
        <v>365</v>
      </c>
      <c r="Q79">
        <v>365</v>
      </c>
      <c r="R79">
        <v>90</v>
      </c>
      <c r="S79">
        <v>0</v>
      </c>
      <c r="T79">
        <v>0</v>
      </c>
      <c r="U79">
        <v>0</v>
      </c>
      <c r="W79" s="30">
        <f t="shared" si="27"/>
        <v>54900000</v>
      </c>
      <c r="X79" s="30">
        <f t="shared" si="28"/>
        <v>54750000</v>
      </c>
      <c r="Y79" s="30">
        <f t="shared" si="29"/>
        <v>54750000</v>
      </c>
      <c r="Z79" s="30">
        <f t="shared" si="30"/>
        <v>54750000</v>
      </c>
      <c r="AA79" s="30">
        <f t="shared" si="31"/>
        <v>54900000</v>
      </c>
      <c r="AB79" s="30">
        <f t="shared" si="32"/>
        <v>54750000</v>
      </c>
      <c r="AC79" s="30">
        <f t="shared" si="33"/>
        <v>54750000</v>
      </c>
      <c r="AD79" s="30">
        <f t="shared" si="34"/>
        <v>13500000</v>
      </c>
      <c r="AE79" s="30">
        <f t="shared" si="35"/>
        <v>0</v>
      </c>
      <c r="AF79" s="30">
        <f t="shared" si="36"/>
        <v>0</v>
      </c>
      <c r="AG79" s="30">
        <f t="shared" si="37"/>
        <v>0</v>
      </c>
    </row>
    <row r="80" spans="1:33" x14ac:dyDescent="0.2">
      <c r="A80" s="113" t="s">
        <v>0</v>
      </c>
      <c r="B80" s="10" t="s">
        <v>63</v>
      </c>
      <c r="C80" s="60">
        <v>21172</v>
      </c>
      <c r="D80" s="121">
        <v>0</v>
      </c>
      <c r="H80" s="72">
        <f t="shared" si="38"/>
        <v>0</v>
      </c>
      <c r="I80" s="63">
        <v>36525</v>
      </c>
      <c r="J80" s="64">
        <v>39172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 s="30">
        <f t="shared" si="27"/>
        <v>0</v>
      </c>
      <c r="X80" s="30">
        <f t="shared" si="28"/>
        <v>0</v>
      </c>
      <c r="Y80" s="30">
        <f t="shared" si="29"/>
        <v>0</v>
      </c>
      <c r="Z80" s="30">
        <f t="shared" si="30"/>
        <v>0</v>
      </c>
      <c r="AA80" s="30">
        <f t="shared" si="31"/>
        <v>0</v>
      </c>
      <c r="AB80" s="30">
        <f t="shared" si="32"/>
        <v>0</v>
      </c>
      <c r="AC80" s="30">
        <f t="shared" si="33"/>
        <v>0</v>
      </c>
      <c r="AD80" s="30">
        <f t="shared" si="34"/>
        <v>0</v>
      </c>
      <c r="AE80" s="30">
        <f t="shared" si="35"/>
        <v>0</v>
      </c>
      <c r="AF80" s="30">
        <f t="shared" si="36"/>
        <v>0</v>
      </c>
      <c r="AG80" s="30">
        <f t="shared" si="37"/>
        <v>0</v>
      </c>
    </row>
    <row r="81" spans="1:33" x14ac:dyDescent="0.2">
      <c r="A81" s="118" t="s">
        <v>0</v>
      </c>
      <c r="B81" s="10" t="s">
        <v>58</v>
      </c>
      <c r="C81" s="60">
        <v>27454</v>
      </c>
      <c r="D81" s="121">
        <v>27500</v>
      </c>
      <c r="E81" s="56" t="s">
        <v>122</v>
      </c>
      <c r="F81" s="122">
        <v>0.10199999999999999</v>
      </c>
      <c r="G81" s="122">
        <v>1.1000000000000001E-3</v>
      </c>
      <c r="H81" s="72">
        <f t="shared" si="38"/>
        <v>0.1031</v>
      </c>
      <c r="I81" s="63">
        <v>37256</v>
      </c>
      <c r="J81" s="64">
        <v>37621</v>
      </c>
      <c r="K81">
        <v>0</v>
      </c>
      <c r="L81">
        <v>0</v>
      </c>
      <c r="M81">
        <v>365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 s="30">
        <f t="shared" si="27"/>
        <v>0</v>
      </c>
      <c r="X81" s="30">
        <f t="shared" si="28"/>
        <v>0</v>
      </c>
      <c r="Y81" s="30">
        <f t="shared" si="29"/>
        <v>10037500</v>
      </c>
      <c r="Z81" s="30">
        <f t="shared" si="30"/>
        <v>0</v>
      </c>
      <c r="AA81" s="30">
        <f t="shared" si="31"/>
        <v>0</v>
      </c>
      <c r="AB81" s="30">
        <f t="shared" si="32"/>
        <v>0</v>
      </c>
      <c r="AC81" s="30">
        <f t="shared" si="33"/>
        <v>0</v>
      </c>
      <c r="AD81" s="30">
        <f t="shared" si="34"/>
        <v>0</v>
      </c>
      <c r="AE81" s="30">
        <f t="shared" si="35"/>
        <v>0</v>
      </c>
      <c r="AF81" s="30">
        <f t="shared" si="36"/>
        <v>0</v>
      </c>
      <c r="AG81" s="30">
        <f t="shared" si="37"/>
        <v>0</v>
      </c>
    </row>
    <row r="82" spans="1:33" x14ac:dyDescent="0.2">
      <c r="A82" s="113" t="s">
        <v>0</v>
      </c>
      <c r="B82" s="10" t="s">
        <v>18</v>
      </c>
      <c r="C82" s="60">
        <v>21375</v>
      </c>
      <c r="D82" s="121">
        <v>20000</v>
      </c>
      <c r="E82" s="56" t="s">
        <v>117</v>
      </c>
      <c r="F82" s="122">
        <v>0.1052</v>
      </c>
      <c r="G82" s="122">
        <v>1.1000000000000001E-3</v>
      </c>
      <c r="H82" s="72">
        <f t="shared" si="38"/>
        <v>0.10630000000000001</v>
      </c>
      <c r="I82" s="63">
        <v>36525</v>
      </c>
      <c r="J82" s="64">
        <v>39141</v>
      </c>
      <c r="K82">
        <v>366</v>
      </c>
      <c r="L82">
        <v>365</v>
      </c>
      <c r="M82">
        <v>365</v>
      </c>
      <c r="N82">
        <v>365</v>
      </c>
      <c r="O82">
        <v>366</v>
      </c>
      <c r="P82">
        <v>365</v>
      </c>
      <c r="Q82">
        <v>365</v>
      </c>
      <c r="R82">
        <v>59</v>
      </c>
      <c r="S82">
        <v>0</v>
      </c>
      <c r="T82">
        <v>0</v>
      </c>
      <c r="U82">
        <v>0</v>
      </c>
      <c r="W82" s="30">
        <f t="shared" si="27"/>
        <v>7320000</v>
      </c>
      <c r="X82" s="30">
        <f t="shared" si="28"/>
        <v>7300000</v>
      </c>
      <c r="Y82" s="30">
        <f t="shared" si="29"/>
        <v>7300000</v>
      </c>
      <c r="Z82" s="30">
        <f t="shared" si="30"/>
        <v>7300000</v>
      </c>
      <c r="AA82" s="30">
        <f t="shared" si="31"/>
        <v>7320000</v>
      </c>
      <c r="AB82" s="30">
        <f t="shared" si="32"/>
        <v>7300000</v>
      </c>
      <c r="AC82" s="30">
        <f t="shared" si="33"/>
        <v>7300000</v>
      </c>
      <c r="AD82" s="30">
        <f t="shared" si="34"/>
        <v>1180000</v>
      </c>
      <c r="AE82" s="30">
        <f t="shared" si="35"/>
        <v>0</v>
      </c>
      <c r="AF82" s="30">
        <f t="shared" si="36"/>
        <v>0</v>
      </c>
      <c r="AG82" s="30">
        <f t="shared" si="37"/>
        <v>0</v>
      </c>
    </row>
    <row r="83" spans="1:33" x14ac:dyDescent="0.2">
      <c r="A83" s="118" t="s">
        <v>0</v>
      </c>
      <c r="B83" s="10" t="s">
        <v>49</v>
      </c>
      <c r="C83" s="60">
        <v>26816</v>
      </c>
      <c r="D83" s="121">
        <v>21500</v>
      </c>
      <c r="E83" s="57" t="s">
        <v>115</v>
      </c>
      <c r="F83" s="122">
        <v>0.10199999999999999</v>
      </c>
      <c r="G83" s="122">
        <v>1.1000000000000001E-3</v>
      </c>
      <c r="H83" s="72">
        <f t="shared" si="38"/>
        <v>0.1031</v>
      </c>
      <c r="I83" s="63">
        <v>36646</v>
      </c>
      <c r="J83" s="64">
        <v>38472</v>
      </c>
      <c r="K83">
        <v>245</v>
      </c>
      <c r="L83">
        <v>365</v>
      </c>
      <c r="M83">
        <v>365</v>
      </c>
      <c r="N83">
        <v>365</v>
      </c>
      <c r="O83">
        <v>366</v>
      </c>
      <c r="P83">
        <v>120</v>
      </c>
      <c r="Q83">
        <v>0</v>
      </c>
      <c r="R83">
        <v>0</v>
      </c>
      <c r="S83">
        <v>0</v>
      </c>
      <c r="T83">
        <v>0</v>
      </c>
      <c r="U83">
        <v>0</v>
      </c>
      <c r="W83" s="30">
        <f t="shared" si="27"/>
        <v>5267500</v>
      </c>
      <c r="X83" s="30">
        <f t="shared" si="28"/>
        <v>7847500</v>
      </c>
      <c r="Y83" s="30">
        <f t="shared" si="29"/>
        <v>7847500</v>
      </c>
      <c r="Z83" s="30">
        <f t="shared" si="30"/>
        <v>7847500</v>
      </c>
      <c r="AA83" s="30">
        <f t="shared" si="31"/>
        <v>7869000</v>
      </c>
      <c r="AB83" s="30">
        <f t="shared" si="32"/>
        <v>2580000</v>
      </c>
      <c r="AC83" s="30">
        <f t="shared" si="33"/>
        <v>0</v>
      </c>
      <c r="AD83" s="30">
        <f t="shared" si="34"/>
        <v>0</v>
      </c>
      <c r="AE83" s="30">
        <f t="shared" si="35"/>
        <v>0</v>
      </c>
      <c r="AF83" s="30">
        <f t="shared" si="36"/>
        <v>0</v>
      </c>
      <c r="AG83" s="30">
        <f t="shared" si="37"/>
        <v>0</v>
      </c>
    </row>
    <row r="84" spans="1:33" x14ac:dyDescent="0.2">
      <c r="A84" s="118" t="s">
        <v>0</v>
      </c>
      <c r="B84" s="10" t="s">
        <v>49</v>
      </c>
      <c r="C84" s="60">
        <v>27504</v>
      </c>
      <c r="D84" s="121">
        <v>35000</v>
      </c>
      <c r="E84" s="56" t="s">
        <v>122</v>
      </c>
      <c r="F84" s="122">
        <v>0.10199999999999999</v>
      </c>
      <c r="G84" s="122">
        <v>1.1000000000000001E-3</v>
      </c>
      <c r="H84" s="72">
        <f t="shared" si="38"/>
        <v>0.1031</v>
      </c>
      <c r="I84" s="63">
        <v>37986</v>
      </c>
      <c r="J84" s="64">
        <v>38717</v>
      </c>
      <c r="K84">
        <v>0</v>
      </c>
      <c r="L84">
        <v>0</v>
      </c>
      <c r="M84">
        <v>0</v>
      </c>
      <c r="N84">
        <v>0</v>
      </c>
      <c r="O84">
        <v>366</v>
      </c>
      <c r="P84">
        <v>365</v>
      </c>
      <c r="Q84">
        <v>0</v>
      </c>
      <c r="R84">
        <v>0</v>
      </c>
      <c r="S84">
        <v>0</v>
      </c>
      <c r="T84">
        <v>0</v>
      </c>
      <c r="U84">
        <v>0</v>
      </c>
      <c r="W84" s="30">
        <f t="shared" si="27"/>
        <v>0</v>
      </c>
      <c r="X84" s="30">
        <f t="shared" si="28"/>
        <v>0</v>
      </c>
      <c r="Y84" s="30">
        <f t="shared" si="29"/>
        <v>0</v>
      </c>
      <c r="Z84" s="30">
        <f t="shared" si="30"/>
        <v>0</v>
      </c>
      <c r="AA84" s="30">
        <f t="shared" si="31"/>
        <v>12810000</v>
      </c>
      <c r="AB84" s="30">
        <f t="shared" si="32"/>
        <v>12775000</v>
      </c>
      <c r="AC84" s="30">
        <f t="shared" si="33"/>
        <v>0</v>
      </c>
      <c r="AD84" s="30">
        <f t="shared" si="34"/>
        <v>0</v>
      </c>
      <c r="AE84" s="30">
        <f t="shared" si="35"/>
        <v>0</v>
      </c>
      <c r="AF84" s="30">
        <f t="shared" si="36"/>
        <v>0</v>
      </c>
      <c r="AG84" s="30">
        <f t="shared" si="37"/>
        <v>0</v>
      </c>
    </row>
    <row r="85" spans="1:33" x14ac:dyDescent="0.2">
      <c r="A85" s="118" t="s">
        <v>0</v>
      </c>
      <c r="B85" s="10" t="s">
        <v>23</v>
      </c>
      <c r="C85" s="60">
        <v>24670</v>
      </c>
      <c r="D85" s="121">
        <v>10000</v>
      </c>
      <c r="E85" s="56" t="s">
        <v>121</v>
      </c>
      <c r="F85" s="122">
        <v>0.10199999999999999</v>
      </c>
      <c r="G85" s="122">
        <v>1.1000000000000001E-3</v>
      </c>
      <c r="H85" s="72">
        <f t="shared" si="38"/>
        <v>0.1031</v>
      </c>
      <c r="I85" s="63">
        <v>36525</v>
      </c>
      <c r="J85" s="64">
        <v>39202</v>
      </c>
      <c r="K85">
        <v>366</v>
      </c>
      <c r="L85">
        <v>365</v>
      </c>
      <c r="M85">
        <v>365</v>
      </c>
      <c r="N85">
        <v>365</v>
      </c>
      <c r="O85">
        <v>366</v>
      </c>
      <c r="P85">
        <v>365</v>
      </c>
      <c r="Q85">
        <v>365</v>
      </c>
      <c r="R85">
        <v>120</v>
      </c>
      <c r="S85">
        <v>0</v>
      </c>
      <c r="T85">
        <v>0</v>
      </c>
      <c r="U85">
        <v>0</v>
      </c>
      <c r="W85" s="30">
        <f t="shared" si="27"/>
        <v>3660000</v>
      </c>
      <c r="X85" s="30">
        <f t="shared" si="28"/>
        <v>3650000</v>
      </c>
      <c r="Y85" s="30">
        <f t="shared" si="29"/>
        <v>3650000</v>
      </c>
      <c r="Z85" s="30">
        <f t="shared" si="30"/>
        <v>3650000</v>
      </c>
      <c r="AA85" s="30">
        <f t="shared" si="31"/>
        <v>3660000</v>
      </c>
      <c r="AB85" s="30">
        <f t="shared" si="32"/>
        <v>3650000</v>
      </c>
      <c r="AC85" s="30">
        <f t="shared" si="33"/>
        <v>3650000</v>
      </c>
      <c r="AD85" s="30">
        <f t="shared" si="34"/>
        <v>1200000</v>
      </c>
      <c r="AE85" s="30">
        <f t="shared" si="35"/>
        <v>0</v>
      </c>
      <c r="AF85" s="30">
        <f t="shared" si="36"/>
        <v>0</v>
      </c>
      <c r="AG85" s="30">
        <f t="shared" si="37"/>
        <v>0</v>
      </c>
    </row>
    <row r="86" spans="1:33" x14ac:dyDescent="0.2">
      <c r="A86" s="113" t="s">
        <v>0</v>
      </c>
      <c r="B86" s="10" t="s">
        <v>15</v>
      </c>
      <c r="C86" s="60">
        <v>20715</v>
      </c>
      <c r="D86" s="121">
        <v>200000</v>
      </c>
      <c r="E86" s="56" t="s">
        <v>117</v>
      </c>
      <c r="F86" s="122">
        <v>0.1052</v>
      </c>
      <c r="G86" s="122">
        <v>1.1000000000000001E-3</v>
      </c>
      <c r="H86" s="72">
        <f t="shared" si="38"/>
        <v>0.10630000000000001</v>
      </c>
      <c r="I86" s="63">
        <v>36525</v>
      </c>
      <c r="J86" s="64">
        <v>38656</v>
      </c>
      <c r="K86">
        <v>366</v>
      </c>
      <c r="L86">
        <v>365</v>
      </c>
      <c r="M86">
        <v>365</v>
      </c>
      <c r="N86">
        <v>365</v>
      </c>
      <c r="O86">
        <v>366</v>
      </c>
      <c r="P86">
        <v>304</v>
      </c>
      <c r="Q86">
        <v>0</v>
      </c>
      <c r="R86">
        <v>0</v>
      </c>
      <c r="S86">
        <v>0</v>
      </c>
      <c r="T86">
        <v>0</v>
      </c>
      <c r="U86">
        <v>0</v>
      </c>
      <c r="W86" s="30">
        <f t="shared" si="27"/>
        <v>73200000</v>
      </c>
      <c r="X86" s="30">
        <f t="shared" si="28"/>
        <v>73000000</v>
      </c>
      <c r="Y86" s="30">
        <f t="shared" si="29"/>
        <v>73000000</v>
      </c>
      <c r="Z86" s="30">
        <f t="shared" si="30"/>
        <v>73000000</v>
      </c>
      <c r="AA86" s="30">
        <f t="shared" si="31"/>
        <v>73200000</v>
      </c>
      <c r="AB86" s="30">
        <f t="shared" si="32"/>
        <v>60800000</v>
      </c>
      <c r="AC86" s="30">
        <f t="shared" si="33"/>
        <v>0</v>
      </c>
      <c r="AD86" s="30">
        <f t="shared" si="34"/>
        <v>0</v>
      </c>
      <c r="AE86" s="30">
        <f t="shared" si="35"/>
        <v>0</v>
      </c>
      <c r="AF86" s="30">
        <f t="shared" si="36"/>
        <v>0</v>
      </c>
      <c r="AG86" s="30">
        <f t="shared" si="37"/>
        <v>0</v>
      </c>
    </row>
    <row r="87" spans="1:33" x14ac:dyDescent="0.2">
      <c r="A87" s="118" t="s">
        <v>0</v>
      </c>
      <c r="B87" s="10" t="s">
        <v>48</v>
      </c>
      <c r="C87" s="60">
        <v>26719</v>
      </c>
      <c r="D87" s="121">
        <v>25000</v>
      </c>
      <c r="E87" s="57" t="s">
        <v>115</v>
      </c>
      <c r="F87" s="122">
        <v>0.10199999999999999</v>
      </c>
      <c r="G87" s="122">
        <v>1.1000000000000001E-3</v>
      </c>
      <c r="H87" s="72">
        <f t="shared" si="38"/>
        <v>0.1031</v>
      </c>
      <c r="I87" s="63">
        <v>36646</v>
      </c>
      <c r="J87" s="64">
        <v>38472</v>
      </c>
      <c r="K87">
        <v>245</v>
      </c>
      <c r="L87">
        <v>365</v>
      </c>
      <c r="M87">
        <v>365</v>
      </c>
      <c r="N87">
        <v>365</v>
      </c>
      <c r="O87">
        <v>366</v>
      </c>
      <c r="P87">
        <v>120</v>
      </c>
      <c r="Q87">
        <v>0</v>
      </c>
      <c r="R87">
        <v>0</v>
      </c>
      <c r="S87">
        <v>0</v>
      </c>
      <c r="T87">
        <v>0</v>
      </c>
      <c r="U87">
        <v>0</v>
      </c>
      <c r="W87" s="30">
        <f t="shared" si="27"/>
        <v>6125000</v>
      </c>
      <c r="X87" s="30">
        <f t="shared" si="28"/>
        <v>9125000</v>
      </c>
      <c r="Y87" s="30">
        <f t="shared" si="29"/>
        <v>9125000</v>
      </c>
      <c r="Z87" s="30">
        <f t="shared" si="30"/>
        <v>9125000</v>
      </c>
      <c r="AA87" s="30">
        <f t="shared" si="31"/>
        <v>9150000</v>
      </c>
      <c r="AB87" s="30">
        <f t="shared" si="32"/>
        <v>3000000</v>
      </c>
      <c r="AC87" s="30">
        <f t="shared" si="33"/>
        <v>0</v>
      </c>
      <c r="AD87" s="30">
        <f t="shared" si="34"/>
        <v>0</v>
      </c>
      <c r="AE87" s="30">
        <f t="shared" si="35"/>
        <v>0</v>
      </c>
      <c r="AF87" s="30">
        <f t="shared" si="36"/>
        <v>0</v>
      </c>
      <c r="AG87" s="30">
        <f t="shared" si="37"/>
        <v>0</v>
      </c>
    </row>
    <row r="88" spans="1:33" x14ac:dyDescent="0.2">
      <c r="A88" s="118" t="s">
        <v>0</v>
      </c>
      <c r="B88" s="10" t="s">
        <v>55</v>
      </c>
      <c r="C88" s="60">
        <v>26960</v>
      </c>
      <c r="D88" s="121">
        <v>20000</v>
      </c>
      <c r="E88" s="57" t="s">
        <v>115</v>
      </c>
      <c r="F88" s="122">
        <v>0.10199999999999999</v>
      </c>
      <c r="G88" s="122">
        <v>1.1000000000000001E-3</v>
      </c>
      <c r="H88" s="72">
        <f t="shared" si="38"/>
        <v>0.1031</v>
      </c>
      <c r="I88" s="63">
        <v>36525</v>
      </c>
      <c r="J88" s="64">
        <v>38077</v>
      </c>
      <c r="K88">
        <v>366</v>
      </c>
      <c r="L88">
        <v>365</v>
      </c>
      <c r="M88">
        <v>365</v>
      </c>
      <c r="N88">
        <v>365</v>
      </c>
      <c r="O88">
        <v>91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 s="30">
        <f t="shared" si="27"/>
        <v>7320000</v>
      </c>
      <c r="X88" s="30">
        <f t="shared" si="28"/>
        <v>7300000</v>
      </c>
      <c r="Y88" s="30">
        <f t="shared" si="29"/>
        <v>7300000</v>
      </c>
      <c r="Z88" s="30">
        <f t="shared" si="30"/>
        <v>7300000</v>
      </c>
      <c r="AA88" s="30">
        <f t="shared" si="31"/>
        <v>1820000</v>
      </c>
      <c r="AB88" s="30">
        <f t="shared" si="32"/>
        <v>0</v>
      </c>
      <c r="AC88" s="30">
        <f t="shared" si="33"/>
        <v>0</v>
      </c>
      <c r="AD88" s="30">
        <f t="shared" si="34"/>
        <v>0</v>
      </c>
      <c r="AE88" s="30">
        <f t="shared" si="35"/>
        <v>0</v>
      </c>
      <c r="AF88" s="30">
        <f t="shared" si="36"/>
        <v>0</v>
      </c>
      <c r="AG88" s="30">
        <f t="shared" si="37"/>
        <v>0</v>
      </c>
    </row>
    <row r="89" spans="1:33" x14ac:dyDescent="0.2">
      <c r="A89" s="104" t="s">
        <v>0</v>
      </c>
      <c r="B89" s="10" t="s">
        <v>19</v>
      </c>
      <c r="C89" s="60">
        <v>24809</v>
      </c>
      <c r="D89" s="121">
        <v>20000</v>
      </c>
      <c r="E89" s="56" t="s">
        <v>118</v>
      </c>
      <c r="F89" s="122">
        <v>0.10199999999999999</v>
      </c>
      <c r="G89" s="122">
        <v>1.1000000000000001E-3</v>
      </c>
      <c r="H89" s="72">
        <f t="shared" si="38"/>
        <v>0.1031</v>
      </c>
      <c r="I89" s="63">
        <v>36525</v>
      </c>
      <c r="J89" s="64">
        <v>37225</v>
      </c>
      <c r="K89">
        <v>366</v>
      </c>
      <c r="L89">
        <v>334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si="27"/>
        <v>7320000</v>
      </c>
      <c r="X89" s="30">
        <f t="shared" si="28"/>
        <v>6680000</v>
      </c>
      <c r="Y89" s="30">
        <f t="shared" si="29"/>
        <v>0</v>
      </c>
      <c r="Z89" s="30">
        <f t="shared" si="30"/>
        <v>0</v>
      </c>
      <c r="AA89" s="30">
        <f t="shared" si="31"/>
        <v>0</v>
      </c>
      <c r="AB89" s="30">
        <f t="shared" si="32"/>
        <v>0</v>
      </c>
      <c r="AC89" s="30">
        <f t="shared" si="33"/>
        <v>0</v>
      </c>
      <c r="AD89" s="30">
        <f t="shared" si="34"/>
        <v>0</v>
      </c>
      <c r="AE89" s="30">
        <f t="shared" si="35"/>
        <v>0</v>
      </c>
      <c r="AF89" s="30">
        <f t="shared" si="36"/>
        <v>0</v>
      </c>
      <c r="AG89" s="30">
        <f t="shared" si="37"/>
        <v>0</v>
      </c>
    </row>
    <row r="90" spans="1:33" x14ac:dyDescent="0.2">
      <c r="A90" s="101" t="s">
        <v>72</v>
      </c>
      <c r="B90" s="10" t="s">
        <v>32</v>
      </c>
      <c r="C90" s="60">
        <v>26490</v>
      </c>
      <c r="D90" s="121">
        <v>70000</v>
      </c>
      <c r="E90" s="57" t="s">
        <v>115</v>
      </c>
      <c r="F90" s="122">
        <f>0.09-0.0153</f>
        <v>7.4700000000000003E-2</v>
      </c>
      <c r="G90" s="122">
        <v>1.5299999999999999E-2</v>
      </c>
      <c r="H90" s="72">
        <f t="shared" si="38"/>
        <v>0.09</v>
      </c>
      <c r="I90" s="63">
        <v>36100</v>
      </c>
      <c r="J90" s="64">
        <v>37925</v>
      </c>
      <c r="K90">
        <v>366</v>
      </c>
      <c r="L90">
        <v>365</v>
      </c>
      <c r="M90">
        <v>365</v>
      </c>
      <c r="N90">
        <v>304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 s="30">
        <f t="shared" si="27"/>
        <v>25620000</v>
      </c>
      <c r="X90" s="30">
        <f t="shared" si="28"/>
        <v>25550000</v>
      </c>
      <c r="Y90" s="30">
        <f t="shared" si="29"/>
        <v>25550000</v>
      </c>
      <c r="Z90" s="30">
        <f t="shared" si="30"/>
        <v>21280000</v>
      </c>
      <c r="AA90" s="30">
        <f t="shared" si="31"/>
        <v>0</v>
      </c>
      <c r="AB90" s="30">
        <f t="shared" si="32"/>
        <v>0</v>
      </c>
      <c r="AC90" s="30">
        <f t="shared" si="33"/>
        <v>0</v>
      </c>
      <c r="AD90" s="30">
        <f t="shared" si="34"/>
        <v>0</v>
      </c>
      <c r="AE90" s="30">
        <f t="shared" si="35"/>
        <v>0</v>
      </c>
      <c r="AF90" s="30">
        <f t="shared" si="36"/>
        <v>0</v>
      </c>
      <c r="AG90" s="30">
        <f t="shared" si="37"/>
        <v>0</v>
      </c>
    </row>
    <row r="91" spans="1:33" x14ac:dyDescent="0.2">
      <c r="A91" s="101" t="s">
        <v>72</v>
      </c>
      <c r="B91" s="10" t="s">
        <v>31</v>
      </c>
      <c r="C91" s="60">
        <v>26683</v>
      </c>
      <c r="D91" s="121">
        <v>8000</v>
      </c>
      <c r="E91" s="56" t="s">
        <v>118</v>
      </c>
      <c r="F91" s="125">
        <f>0.3729-0.102-0.0011-0.0131</f>
        <v>0.25670000000000004</v>
      </c>
      <c r="G91" s="122">
        <v>1.3100000000000001E-2</v>
      </c>
      <c r="H91" s="72">
        <f t="shared" ref="H91:H130" si="39">+G91+F91</f>
        <v>0.26980000000000004</v>
      </c>
      <c r="I91" s="63">
        <v>36220</v>
      </c>
      <c r="J91" s="64">
        <v>37711</v>
      </c>
      <c r="K91">
        <v>366</v>
      </c>
      <c r="L91">
        <v>365</v>
      </c>
      <c r="M91">
        <v>365</v>
      </c>
      <c r="N91">
        <v>90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ref="W91:W135" si="40">+K91*$D91</f>
        <v>2928000</v>
      </c>
      <c r="X91" s="30">
        <f t="shared" ref="X91:X135" si="41">+L91*$D91</f>
        <v>2920000</v>
      </c>
      <c r="Y91" s="30">
        <f t="shared" ref="Y91:Y135" si="42">+M91*$D91</f>
        <v>2920000</v>
      </c>
      <c r="Z91" s="30">
        <f t="shared" ref="Z91:Z135" si="43">+N91*$D91</f>
        <v>720000</v>
      </c>
      <c r="AA91" s="30">
        <f t="shared" ref="AA91:AA135" si="44">+O91*$D91</f>
        <v>0</v>
      </c>
      <c r="AB91" s="30">
        <f t="shared" ref="AB91:AB135" si="45">+P91*$D91</f>
        <v>0</v>
      </c>
      <c r="AC91" s="30">
        <f t="shared" ref="AC91:AC135" si="46">+Q91*$D91</f>
        <v>0</v>
      </c>
      <c r="AD91" s="30">
        <f t="shared" ref="AD91:AD135" si="47">+R91*$D91</f>
        <v>0</v>
      </c>
      <c r="AE91" s="30">
        <f t="shared" ref="AE91:AE135" si="48">+S91*$D91</f>
        <v>0</v>
      </c>
      <c r="AF91" s="30">
        <f t="shared" ref="AF91:AF135" si="49">+T91*$D91</f>
        <v>0</v>
      </c>
      <c r="AG91" s="30">
        <f t="shared" ref="AG91:AG135" si="50">+U91*$D91</f>
        <v>0</v>
      </c>
    </row>
    <row r="92" spans="1:33" x14ac:dyDescent="0.2">
      <c r="A92" s="101" t="s">
        <v>72</v>
      </c>
      <c r="B92" s="10" t="s">
        <v>31</v>
      </c>
      <c r="C92" s="60">
        <v>27334</v>
      </c>
      <c r="D92" s="121">
        <v>14000</v>
      </c>
      <c r="E92" s="57" t="s">
        <v>115</v>
      </c>
      <c r="F92" s="122">
        <f>0.18-0.0153</f>
        <v>0.16469999999999999</v>
      </c>
      <c r="G92" s="122">
        <v>1.5299999999999999E-2</v>
      </c>
      <c r="H92" s="72">
        <f t="shared" si="39"/>
        <v>0.18</v>
      </c>
      <c r="I92" s="63">
        <v>36982</v>
      </c>
      <c r="J92" s="64">
        <v>37195</v>
      </c>
      <c r="K92">
        <v>0</v>
      </c>
      <c r="L92">
        <v>214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 s="30">
        <f t="shared" si="40"/>
        <v>0</v>
      </c>
      <c r="X92" s="30">
        <f t="shared" si="41"/>
        <v>2996000</v>
      </c>
      <c r="Y92" s="30">
        <f t="shared" si="42"/>
        <v>0</v>
      </c>
      <c r="Z92" s="30">
        <f t="shared" si="43"/>
        <v>0</v>
      </c>
      <c r="AA92" s="30">
        <f t="shared" si="44"/>
        <v>0</v>
      </c>
      <c r="AB92" s="30">
        <f t="shared" si="45"/>
        <v>0</v>
      </c>
      <c r="AC92" s="30">
        <f t="shared" si="46"/>
        <v>0</v>
      </c>
      <c r="AD92" s="30">
        <f t="shared" si="47"/>
        <v>0</v>
      </c>
      <c r="AE92" s="30">
        <f t="shared" si="48"/>
        <v>0</v>
      </c>
      <c r="AF92" s="30">
        <f t="shared" si="49"/>
        <v>0</v>
      </c>
      <c r="AG92" s="30">
        <f t="shared" si="50"/>
        <v>0</v>
      </c>
    </row>
    <row r="93" spans="1:33" x14ac:dyDescent="0.2">
      <c r="A93" s="101" t="s">
        <v>72</v>
      </c>
      <c r="B93" s="42" t="s">
        <v>89</v>
      </c>
      <c r="C93" s="60">
        <v>27495</v>
      </c>
      <c r="D93" s="76">
        <v>0</v>
      </c>
      <c r="E93" s="57"/>
      <c r="F93" s="67">
        <v>0</v>
      </c>
      <c r="G93" s="67">
        <v>2.46E-2</v>
      </c>
      <c r="H93" s="72">
        <f t="shared" si="39"/>
        <v>2.46E-2</v>
      </c>
      <c r="I93" s="46">
        <v>36951</v>
      </c>
      <c r="J93" s="64">
        <v>37711</v>
      </c>
      <c r="K93">
        <v>0</v>
      </c>
      <c r="L93">
        <v>306</v>
      </c>
      <c r="M93">
        <v>365</v>
      </c>
      <c r="N93">
        <v>90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40"/>
        <v>0</v>
      </c>
      <c r="X93" s="30">
        <f t="shared" si="41"/>
        <v>0</v>
      </c>
      <c r="Y93" s="30">
        <f t="shared" si="42"/>
        <v>0</v>
      </c>
      <c r="Z93" s="30">
        <f t="shared" si="43"/>
        <v>0</v>
      </c>
      <c r="AA93" s="30">
        <f t="shared" si="44"/>
        <v>0</v>
      </c>
      <c r="AB93" s="30">
        <f t="shared" si="45"/>
        <v>0</v>
      </c>
      <c r="AC93" s="30">
        <f t="shared" si="46"/>
        <v>0</v>
      </c>
      <c r="AD93" s="30">
        <f t="shared" si="47"/>
        <v>0</v>
      </c>
      <c r="AE93" s="30">
        <f t="shared" si="48"/>
        <v>0</v>
      </c>
      <c r="AF93" s="30">
        <f t="shared" si="49"/>
        <v>0</v>
      </c>
      <c r="AG93" s="30">
        <f t="shared" si="50"/>
        <v>0</v>
      </c>
    </row>
    <row r="94" spans="1:33" x14ac:dyDescent="0.2">
      <c r="A94" s="120" t="s">
        <v>72</v>
      </c>
      <c r="B94" s="10" t="s">
        <v>11</v>
      </c>
      <c r="C94" s="60">
        <v>24736</v>
      </c>
      <c r="D94" s="121">
        <v>4000</v>
      </c>
      <c r="E94" s="56" t="s">
        <v>117</v>
      </c>
      <c r="F94" s="122">
        <v>0.26390000000000002</v>
      </c>
      <c r="G94" s="122">
        <v>1.5299999999999999E-2</v>
      </c>
      <c r="H94" s="72">
        <f t="shared" si="39"/>
        <v>0.2792</v>
      </c>
      <c r="I94" s="65"/>
      <c r="J94" s="64">
        <v>36616</v>
      </c>
      <c r="K94">
        <v>91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40"/>
        <v>364000</v>
      </c>
      <c r="X94" s="30">
        <f t="shared" si="41"/>
        <v>0</v>
      </c>
      <c r="Y94" s="30">
        <f t="shared" si="42"/>
        <v>0</v>
      </c>
      <c r="Z94" s="30">
        <f t="shared" si="43"/>
        <v>0</v>
      </c>
      <c r="AA94" s="30">
        <f t="shared" si="44"/>
        <v>0</v>
      </c>
      <c r="AB94" s="30">
        <f t="shared" si="45"/>
        <v>0</v>
      </c>
      <c r="AC94" s="30">
        <f t="shared" si="46"/>
        <v>0</v>
      </c>
      <c r="AD94" s="30">
        <f t="shared" si="47"/>
        <v>0</v>
      </c>
      <c r="AE94" s="30">
        <f t="shared" si="48"/>
        <v>0</v>
      </c>
      <c r="AF94" s="30">
        <f t="shared" si="49"/>
        <v>0</v>
      </c>
      <c r="AG94" s="30">
        <f t="shared" si="50"/>
        <v>0</v>
      </c>
    </row>
    <row r="95" spans="1:33" x14ac:dyDescent="0.2">
      <c r="A95" s="112" t="s">
        <v>72</v>
      </c>
      <c r="B95" s="49" t="s">
        <v>106</v>
      </c>
      <c r="C95" s="60">
        <v>25071</v>
      </c>
      <c r="D95" s="121">
        <v>90000</v>
      </c>
      <c r="E95" s="57" t="s">
        <v>115</v>
      </c>
      <c r="F95" s="125">
        <f>0.1564-0.102-0.0467</f>
        <v>7.7000000000000193E-3</v>
      </c>
      <c r="G95" s="122">
        <f>0.0186-0.0011-0.0033</f>
        <v>1.4199999999999997E-2</v>
      </c>
      <c r="H95" s="72">
        <f t="shared" si="39"/>
        <v>2.1900000000000017E-2</v>
      </c>
      <c r="I95" s="63">
        <v>35400</v>
      </c>
      <c r="J95" s="64">
        <v>39782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365</v>
      </c>
      <c r="S95">
        <v>335</v>
      </c>
      <c r="T95">
        <v>0</v>
      </c>
      <c r="U95">
        <v>0</v>
      </c>
      <c r="W95" s="30">
        <f t="shared" si="40"/>
        <v>32940000</v>
      </c>
      <c r="X95" s="30">
        <f t="shared" si="41"/>
        <v>32850000</v>
      </c>
      <c r="Y95" s="30">
        <f t="shared" si="42"/>
        <v>32850000</v>
      </c>
      <c r="Z95" s="30">
        <f t="shared" si="43"/>
        <v>32850000</v>
      </c>
      <c r="AA95" s="30">
        <f t="shared" si="44"/>
        <v>32940000</v>
      </c>
      <c r="AB95" s="30">
        <f t="shared" si="45"/>
        <v>32850000</v>
      </c>
      <c r="AC95" s="30">
        <f t="shared" si="46"/>
        <v>32850000</v>
      </c>
      <c r="AD95" s="30">
        <f t="shared" si="47"/>
        <v>32850000</v>
      </c>
      <c r="AE95" s="30">
        <f t="shared" si="48"/>
        <v>30150000</v>
      </c>
      <c r="AF95" s="30">
        <f t="shared" si="49"/>
        <v>0</v>
      </c>
      <c r="AG95" s="30">
        <f t="shared" si="50"/>
        <v>0</v>
      </c>
    </row>
    <row r="96" spans="1:33" x14ac:dyDescent="0.2">
      <c r="A96" s="118" t="s">
        <v>72</v>
      </c>
      <c r="B96" s="49" t="s">
        <v>106</v>
      </c>
      <c r="C96" s="60">
        <v>25700</v>
      </c>
      <c r="D96" s="121">
        <v>25000</v>
      </c>
      <c r="E96" s="57" t="s">
        <v>115</v>
      </c>
      <c r="F96" s="122">
        <f>0.1714-0.102</f>
        <v>6.9400000000000003E-2</v>
      </c>
      <c r="G96" s="122">
        <f>0.0186-0.0011</f>
        <v>1.7499999999999998E-2</v>
      </c>
      <c r="H96" s="72">
        <f t="shared" si="39"/>
        <v>8.6900000000000005E-2</v>
      </c>
      <c r="I96" s="63">
        <v>36525</v>
      </c>
      <c r="J96" s="64">
        <v>37621</v>
      </c>
      <c r="K96">
        <v>366</v>
      </c>
      <c r="L96">
        <v>365</v>
      </c>
      <c r="M96">
        <v>365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 s="30">
        <f t="shared" si="40"/>
        <v>9150000</v>
      </c>
      <c r="X96" s="30">
        <f t="shared" si="41"/>
        <v>9125000</v>
      </c>
      <c r="Y96" s="30">
        <f t="shared" si="42"/>
        <v>9125000</v>
      </c>
      <c r="Z96" s="30">
        <f t="shared" si="43"/>
        <v>0</v>
      </c>
      <c r="AA96" s="30">
        <f t="shared" si="44"/>
        <v>0</v>
      </c>
      <c r="AB96" s="30">
        <f t="shared" si="45"/>
        <v>0</v>
      </c>
      <c r="AC96" s="30">
        <f t="shared" si="46"/>
        <v>0</v>
      </c>
      <c r="AD96" s="30">
        <f t="shared" si="47"/>
        <v>0</v>
      </c>
      <c r="AE96" s="30">
        <f t="shared" si="48"/>
        <v>0</v>
      </c>
      <c r="AF96" s="30">
        <f t="shared" si="49"/>
        <v>0</v>
      </c>
      <c r="AG96" s="30">
        <f t="shared" si="50"/>
        <v>0</v>
      </c>
    </row>
    <row r="97" spans="1:33" x14ac:dyDescent="0.2">
      <c r="A97" s="118" t="s">
        <v>72</v>
      </c>
      <c r="B97" s="10" t="s">
        <v>59</v>
      </c>
      <c r="C97" s="60">
        <v>27458</v>
      </c>
      <c r="D97" s="121">
        <v>14000</v>
      </c>
      <c r="E97" s="56" t="s">
        <v>122</v>
      </c>
      <c r="F97" s="122">
        <f>1.28-0.102-0.0011-0.0153</f>
        <v>1.1615999999999997</v>
      </c>
      <c r="G97" s="122">
        <v>1.5299999999999999E-2</v>
      </c>
      <c r="H97" s="72">
        <f t="shared" si="39"/>
        <v>1.1768999999999998</v>
      </c>
      <c r="I97" s="63">
        <v>37621</v>
      </c>
      <c r="J97" s="64">
        <v>38717</v>
      </c>
      <c r="K97">
        <v>0</v>
      </c>
      <c r="L97">
        <v>0</v>
      </c>
      <c r="M97">
        <v>0</v>
      </c>
      <c r="N97">
        <v>365</v>
      </c>
      <c r="O97">
        <v>366</v>
      </c>
      <c r="P97">
        <v>365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40"/>
        <v>0</v>
      </c>
      <c r="X97" s="30">
        <f t="shared" si="41"/>
        <v>0</v>
      </c>
      <c r="Y97" s="30">
        <f t="shared" si="42"/>
        <v>0</v>
      </c>
      <c r="Z97" s="30">
        <f t="shared" si="43"/>
        <v>5110000</v>
      </c>
      <c r="AA97" s="30">
        <f t="shared" si="44"/>
        <v>5124000</v>
      </c>
      <c r="AB97" s="30">
        <f t="shared" si="45"/>
        <v>5110000</v>
      </c>
      <c r="AC97" s="30">
        <f t="shared" si="46"/>
        <v>0</v>
      </c>
      <c r="AD97" s="30">
        <f t="shared" si="47"/>
        <v>0</v>
      </c>
      <c r="AE97" s="30">
        <f t="shared" si="48"/>
        <v>0</v>
      </c>
      <c r="AF97" s="30">
        <f t="shared" si="49"/>
        <v>0</v>
      </c>
      <c r="AG97" s="30">
        <f t="shared" si="50"/>
        <v>0</v>
      </c>
    </row>
    <row r="98" spans="1:33" x14ac:dyDescent="0.2">
      <c r="A98" s="120" t="s">
        <v>72</v>
      </c>
      <c r="B98" s="10" t="s">
        <v>35</v>
      </c>
      <c r="C98" s="60">
        <v>26520</v>
      </c>
      <c r="D98" s="121">
        <v>25000</v>
      </c>
      <c r="E98" s="56" t="s">
        <v>117</v>
      </c>
      <c r="F98" s="122">
        <v>0.20960000000000001</v>
      </c>
      <c r="G98" s="122">
        <v>2.5399999999999999E-2</v>
      </c>
      <c r="H98" s="72">
        <f t="shared" si="39"/>
        <v>0.23500000000000001</v>
      </c>
      <c r="I98" s="63">
        <v>33664</v>
      </c>
      <c r="J98" s="64">
        <v>39141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59</v>
      </c>
      <c r="S98">
        <v>0</v>
      </c>
      <c r="T98">
        <v>0</v>
      </c>
      <c r="U98">
        <v>0</v>
      </c>
      <c r="W98" s="30">
        <f t="shared" si="40"/>
        <v>9150000</v>
      </c>
      <c r="X98" s="30">
        <f t="shared" si="41"/>
        <v>9125000</v>
      </c>
      <c r="Y98" s="30">
        <f t="shared" si="42"/>
        <v>9125000</v>
      </c>
      <c r="Z98" s="30">
        <f t="shared" si="43"/>
        <v>9125000</v>
      </c>
      <c r="AA98" s="30">
        <f t="shared" si="44"/>
        <v>9150000</v>
      </c>
      <c r="AB98" s="30">
        <f t="shared" si="45"/>
        <v>9125000</v>
      </c>
      <c r="AC98" s="30">
        <f t="shared" si="46"/>
        <v>9125000</v>
      </c>
      <c r="AD98" s="30">
        <f t="shared" si="47"/>
        <v>1475000</v>
      </c>
      <c r="AE98" s="30">
        <f t="shared" si="48"/>
        <v>0</v>
      </c>
      <c r="AF98" s="30">
        <f t="shared" si="49"/>
        <v>0</v>
      </c>
      <c r="AG98" s="30">
        <f t="shared" si="50"/>
        <v>0</v>
      </c>
    </row>
    <row r="99" spans="1:33" x14ac:dyDescent="0.2">
      <c r="A99" s="120" t="s">
        <v>72</v>
      </c>
      <c r="B99" s="10" t="s">
        <v>34</v>
      </c>
      <c r="C99" s="60">
        <v>20747</v>
      </c>
      <c r="D99" s="121">
        <v>10000</v>
      </c>
      <c r="E99" s="56" t="s">
        <v>117</v>
      </c>
      <c r="F99" s="122">
        <v>0.30620000000000003</v>
      </c>
      <c r="G99" s="122">
        <v>2.5399999999999999E-2</v>
      </c>
      <c r="H99" s="72">
        <f t="shared" si="39"/>
        <v>0.33160000000000001</v>
      </c>
      <c r="I99" s="63">
        <v>33664</v>
      </c>
      <c r="J99" s="64">
        <v>37315</v>
      </c>
      <c r="K99">
        <v>366</v>
      </c>
      <c r="L99">
        <v>365</v>
      </c>
      <c r="M99">
        <v>59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40"/>
        <v>3660000</v>
      </c>
      <c r="X99" s="30">
        <f t="shared" si="41"/>
        <v>3650000</v>
      </c>
      <c r="Y99" s="30">
        <f t="shared" si="42"/>
        <v>590000</v>
      </c>
      <c r="Z99" s="30">
        <f t="shared" si="43"/>
        <v>0</v>
      </c>
      <c r="AA99" s="30">
        <f t="shared" si="44"/>
        <v>0</v>
      </c>
      <c r="AB99" s="30">
        <f t="shared" si="45"/>
        <v>0</v>
      </c>
      <c r="AC99" s="30">
        <f t="shared" si="46"/>
        <v>0</v>
      </c>
      <c r="AD99" s="30">
        <f t="shared" si="47"/>
        <v>0</v>
      </c>
      <c r="AE99" s="30">
        <f t="shared" si="48"/>
        <v>0</v>
      </c>
      <c r="AF99" s="30">
        <f t="shared" si="49"/>
        <v>0</v>
      </c>
      <c r="AG99" s="30">
        <f t="shared" si="50"/>
        <v>0</v>
      </c>
    </row>
    <row r="100" spans="1:33" x14ac:dyDescent="0.2">
      <c r="A100" s="120" t="s">
        <v>72</v>
      </c>
      <c r="B100" s="10" t="s">
        <v>34</v>
      </c>
      <c r="C100" s="60">
        <v>20748</v>
      </c>
      <c r="D100" s="121">
        <v>10000</v>
      </c>
      <c r="E100" s="56" t="s">
        <v>117</v>
      </c>
      <c r="F100" s="122">
        <v>0.30499999999999999</v>
      </c>
      <c r="G100" s="122">
        <v>2.5399999999999999E-2</v>
      </c>
      <c r="H100" s="72">
        <f t="shared" si="39"/>
        <v>0.33039999999999997</v>
      </c>
      <c r="I100" s="63">
        <v>33664</v>
      </c>
      <c r="J100" s="64">
        <v>37315</v>
      </c>
      <c r="K100">
        <v>366</v>
      </c>
      <c r="L100">
        <v>365</v>
      </c>
      <c r="M100">
        <v>59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40"/>
        <v>3660000</v>
      </c>
      <c r="X100" s="30">
        <f t="shared" si="41"/>
        <v>3650000</v>
      </c>
      <c r="Y100" s="30">
        <f t="shared" si="42"/>
        <v>590000</v>
      </c>
      <c r="Z100" s="30">
        <f t="shared" si="43"/>
        <v>0</v>
      </c>
      <c r="AA100" s="30">
        <f t="shared" si="44"/>
        <v>0</v>
      </c>
      <c r="AB100" s="30">
        <f t="shared" si="45"/>
        <v>0</v>
      </c>
      <c r="AC100" s="30">
        <f t="shared" si="46"/>
        <v>0</v>
      </c>
      <c r="AD100" s="30">
        <f t="shared" si="47"/>
        <v>0</v>
      </c>
      <c r="AE100" s="30">
        <f t="shared" si="48"/>
        <v>0</v>
      </c>
      <c r="AF100" s="30">
        <f t="shared" si="49"/>
        <v>0</v>
      </c>
      <c r="AG100" s="30">
        <f t="shared" si="50"/>
        <v>0</v>
      </c>
    </row>
    <row r="101" spans="1:33" x14ac:dyDescent="0.2">
      <c r="A101" s="118" t="s">
        <v>72</v>
      </c>
      <c r="B101" s="10" t="s">
        <v>34</v>
      </c>
      <c r="C101" s="60">
        <v>27566</v>
      </c>
      <c r="D101" s="121">
        <v>20000</v>
      </c>
      <c r="E101" s="56" t="s">
        <v>118</v>
      </c>
      <c r="F101" s="122">
        <v>0.26390000000000002</v>
      </c>
      <c r="G101" s="122">
        <v>1.5299999999999999E-2</v>
      </c>
      <c r="H101" s="72">
        <f t="shared" si="39"/>
        <v>0.2792</v>
      </c>
      <c r="I101" s="63">
        <v>37316</v>
      </c>
      <c r="J101" s="64">
        <v>39172</v>
      </c>
      <c r="K101">
        <v>0</v>
      </c>
      <c r="L101">
        <v>0</v>
      </c>
      <c r="M101">
        <v>306</v>
      </c>
      <c r="N101">
        <v>365</v>
      </c>
      <c r="O101">
        <v>366</v>
      </c>
      <c r="P101">
        <v>365</v>
      </c>
      <c r="Q101">
        <v>365</v>
      </c>
      <c r="R101">
        <v>90</v>
      </c>
      <c r="S101">
        <v>0</v>
      </c>
      <c r="T101">
        <v>0</v>
      </c>
      <c r="U101">
        <v>0</v>
      </c>
      <c r="W101" s="30">
        <f t="shared" si="40"/>
        <v>0</v>
      </c>
      <c r="X101" s="30">
        <f t="shared" si="41"/>
        <v>0</v>
      </c>
      <c r="Y101" s="30">
        <f t="shared" si="42"/>
        <v>6120000</v>
      </c>
      <c r="Z101" s="30">
        <f t="shared" si="43"/>
        <v>7300000</v>
      </c>
      <c r="AA101" s="30">
        <f t="shared" si="44"/>
        <v>7320000</v>
      </c>
      <c r="AB101" s="30">
        <f t="shared" si="45"/>
        <v>7300000</v>
      </c>
      <c r="AC101" s="30">
        <f t="shared" si="46"/>
        <v>7300000</v>
      </c>
      <c r="AD101" s="30">
        <f t="shared" si="47"/>
        <v>1800000</v>
      </c>
      <c r="AE101" s="30">
        <f t="shared" si="48"/>
        <v>0</v>
      </c>
      <c r="AF101" s="30">
        <f t="shared" si="49"/>
        <v>0</v>
      </c>
      <c r="AG101" s="30">
        <f t="shared" si="50"/>
        <v>0</v>
      </c>
    </row>
    <row r="102" spans="1:33" x14ac:dyDescent="0.2">
      <c r="A102" s="101" t="s">
        <v>72</v>
      </c>
      <c r="B102" s="10" t="s">
        <v>25</v>
      </c>
      <c r="C102" s="60">
        <v>25838</v>
      </c>
      <c r="D102" s="121">
        <v>10475</v>
      </c>
      <c r="E102" s="57" t="s">
        <v>115</v>
      </c>
      <c r="F102" s="122">
        <v>3.9600000000000003E-2</v>
      </c>
      <c r="G102" s="122">
        <v>2.5399999999999999E-2</v>
      </c>
      <c r="H102" s="72">
        <f t="shared" si="39"/>
        <v>6.5000000000000002E-2</v>
      </c>
      <c r="I102" s="63"/>
      <c r="J102" s="64">
        <v>36556</v>
      </c>
      <c r="K102">
        <v>31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40"/>
        <v>324725</v>
      </c>
      <c r="X102" s="30">
        <f t="shared" si="41"/>
        <v>0</v>
      </c>
      <c r="Y102" s="30">
        <f t="shared" si="42"/>
        <v>0</v>
      </c>
      <c r="Z102" s="30">
        <f t="shared" si="43"/>
        <v>0</v>
      </c>
      <c r="AA102" s="30">
        <f t="shared" si="44"/>
        <v>0</v>
      </c>
      <c r="AB102" s="30">
        <f t="shared" si="45"/>
        <v>0</v>
      </c>
      <c r="AC102" s="30">
        <f t="shared" si="46"/>
        <v>0</v>
      </c>
      <c r="AD102" s="30">
        <f t="shared" si="47"/>
        <v>0</v>
      </c>
      <c r="AE102" s="30">
        <f t="shared" si="48"/>
        <v>0</v>
      </c>
      <c r="AF102" s="30">
        <f t="shared" si="49"/>
        <v>0</v>
      </c>
      <c r="AG102" s="30">
        <f t="shared" si="50"/>
        <v>0</v>
      </c>
    </row>
    <row r="103" spans="1:33" x14ac:dyDescent="0.2">
      <c r="A103" s="101" t="s">
        <v>72</v>
      </c>
      <c r="B103" s="10" t="s">
        <v>25</v>
      </c>
      <c r="C103" s="60">
        <v>26758</v>
      </c>
      <c r="D103" s="121">
        <v>40000</v>
      </c>
      <c r="E103" s="57" t="s">
        <v>115</v>
      </c>
      <c r="F103" s="122">
        <v>6.5799999999999997E-2</v>
      </c>
      <c r="G103" s="122">
        <v>2.5399999999999999E-2</v>
      </c>
      <c r="H103" s="72">
        <f t="shared" si="39"/>
        <v>9.1200000000000003E-2</v>
      </c>
      <c r="I103" s="63">
        <v>36647</v>
      </c>
      <c r="J103" s="64">
        <v>38472</v>
      </c>
      <c r="K103">
        <v>245</v>
      </c>
      <c r="L103">
        <v>365</v>
      </c>
      <c r="M103">
        <v>365</v>
      </c>
      <c r="N103">
        <v>365</v>
      </c>
      <c r="O103">
        <v>366</v>
      </c>
      <c r="P103">
        <v>120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40"/>
        <v>9800000</v>
      </c>
      <c r="X103" s="30">
        <f t="shared" si="41"/>
        <v>14600000</v>
      </c>
      <c r="Y103" s="30">
        <f t="shared" si="42"/>
        <v>14600000</v>
      </c>
      <c r="Z103" s="30">
        <f t="shared" si="43"/>
        <v>14600000</v>
      </c>
      <c r="AA103" s="30">
        <f t="shared" si="44"/>
        <v>14640000</v>
      </c>
      <c r="AB103" s="30">
        <f t="shared" si="45"/>
        <v>4800000</v>
      </c>
      <c r="AC103" s="30">
        <f t="shared" si="46"/>
        <v>0</v>
      </c>
      <c r="AD103" s="30">
        <f t="shared" si="47"/>
        <v>0</v>
      </c>
      <c r="AE103" s="30">
        <f t="shared" si="48"/>
        <v>0</v>
      </c>
      <c r="AF103" s="30">
        <f t="shared" si="49"/>
        <v>0</v>
      </c>
      <c r="AG103" s="30">
        <f t="shared" si="50"/>
        <v>0</v>
      </c>
    </row>
    <row r="104" spans="1:33" x14ac:dyDescent="0.2">
      <c r="A104" s="120" t="s">
        <v>72</v>
      </c>
      <c r="B104" s="10" t="s">
        <v>64</v>
      </c>
      <c r="C104" s="60">
        <v>26372</v>
      </c>
      <c r="D104" s="121">
        <v>25000</v>
      </c>
      <c r="E104" s="56" t="s">
        <v>117</v>
      </c>
      <c r="F104" s="122">
        <v>0.31369999999999998</v>
      </c>
      <c r="G104" s="122">
        <v>2.5399999999999999E-2</v>
      </c>
      <c r="H104" s="72">
        <f t="shared" si="39"/>
        <v>0.33909999999999996</v>
      </c>
      <c r="I104" s="63">
        <v>36525</v>
      </c>
      <c r="J104" s="64">
        <v>39172</v>
      </c>
      <c r="K104">
        <v>366</v>
      </c>
      <c r="L104">
        <v>365</v>
      </c>
      <c r="M104">
        <v>365</v>
      </c>
      <c r="N104">
        <v>365</v>
      </c>
      <c r="O104">
        <v>366</v>
      </c>
      <c r="P104">
        <v>365</v>
      </c>
      <c r="Q104">
        <v>365</v>
      </c>
      <c r="R104">
        <v>90</v>
      </c>
      <c r="S104">
        <v>0</v>
      </c>
      <c r="T104">
        <v>0</v>
      </c>
      <c r="U104">
        <v>0</v>
      </c>
      <c r="W104" s="30">
        <f t="shared" si="40"/>
        <v>9150000</v>
      </c>
      <c r="X104" s="30">
        <f t="shared" si="41"/>
        <v>9125000</v>
      </c>
      <c r="Y104" s="30">
        <f t="shared" si="42"/>
        <v>9125000</v>
      </c>
      <c r="Z104" s="30">
        <f t="shared" si="43"/>
        <v>9125000</v>
      </c>
      <c r="AA104" s="30">
        <f t="shared" si="44"/>
        <v>9150000</v>
      </c>
      <c r="AB104" s="30">
        <f t="shared" si="45"/>
        <v>9125000</v>
      </c>
      <c r="AC104" s="30">
        <f t="shared" si="46"/>
        <v>9125000</v>
      </c>
      <c r="AD104" s="30">
        <f t="shared" si="47"/>
        <v>2250000</v>
      </c>
      <c r="AE104" s="30">
        <f t="shared" si="48"/>
        <v>0</v>
      </c>
      <c r="AF104" s="30">
        <f t="shared" si="49"/>
        <v>0</v>
      </c>
      <c r="AG104" s="30">
        <f t="shared" si="50"/>
        <v>0</v>
      </c>
    </row>
    <row r="105" spans="1:33" x14ac:dyDescent="0.2">
      <c r="A105" s="118" t="s">
        <v>72</v>
      </c>
      <c r="B105" s="10" t="s">
        <v>56</v>
      </c>
      <c r="C105" s="60">
        <v>27453</v>
      </c>
      <c r="D105" s="121">
        <v>35000</v>
      </c>
      <c r="E105" s="56" t="s">
        <v>122</v>
      </c>
      <c r="F105" s="122">
        <f>1.18-0.102-0.0011-0.0153</f>
        <v>1.0615999999999997</v>
      </c>
      <c r="G105" s="122">
        <v>1.5299999999999999E-2</v>
      </c>
      <c r="H105" s="72">
        <f t="shared" si="39"/>
        <v>1.0768999999999997</v>
      </c>
      <c r="I105" s="63">
        <v>37621</v>
      </c>
      <c r="J105" s="64">
        <v>37986</v>
      </c>
      <c r="K105">
        <v>0</v>
      </c>
      <c r="L105">
        <v>0</v>
      </c>
      <c r="M105">
        <v>0</v>
      </c>
      <c r="N105">
        <v>365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40"/>
        <v>0</v>
      </c>
      <c r="X105" s="30">
        <f t="shared" si="41"/>
        <v>0</v>
      </c>
      <c r="Y105" s="30">
        <f t="shared" si="42"/>
        <v>0</v>
      </c>
      <c r="Z105" s="30">
        <f t="shared" si="43"/>
        <v>12775000</v>
      </c>
      <c r="AA105" s="30">
        <f t="shared" si="44"/>
        <v>0</v>
      </c>
      <c r="AB105" s="30">
        <f t="shared" si="45"/>
        <v>0</v>
      </c>
      <c r="AC105" s="30">
        <f t="shared" si="46"/>
        <v>0</v>
      </c>
      <c r="AD105" s="30">
        <f t="shared" si="47"/>
        <v>0</v>
      </c>
      <c r="AE105" s="30">
        <f t="shared" si="48"/>
        <v>0</v>
      </c>
      <c r="AF105" s="30">
        <f t="shared" si="49"/>
        <v>0</v>
      </c>
      <c r="AG105" s="30">
        <f t="shared" si="50"/>
        <v>0</v>
      </c>
    </row>
    <row r="106" spans="1:33" x14ac:dyDescent="0.2">
      <c r="A106" s="118" t="s">
        <v>72</v>
      </c>
      <c r="B106" s="10" t="s">
        <v>56</v>
      </c>
      <c r="C106" s="60">
        <v>27456</v>
      </c>
      <c r="D106" s="121">
        <v>21500</v>
      </c>
      <c r="E106" s="56" t="s">
        <v>122</v>
      </c>
      <c r="F106" s="122">
        <f>1-0.102-0.0011-0.0153</f>
        <v>0.88160000000000005</v>
      </c>
      <c r="G106" s="122">
        <v>1.5299999999999999E-2</v>
      </c>
      <c r="H106" s="72">
        <f t="shared" si="39"/>
        <v>0.89690000000000003</v>
      </c>
      <c r="I106" s="63">
        <v>37560</v>
      </c>
      <c r="J106" s="64">
        <v>37621</v>
      </c>
      <c r="K106">
        <v>0</v>
      </c>
      <c r="L106">
        <v>0</v>
      </c>
      <c r="M106">
        <v>61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 s="30">
        <f t="shared" si="40"/>
        <v>0</v>
      </c>
      <c r="X106" s="30">
        <f t="shared" si="41"/>
        <v>0</v>
      </c>
      <c r="Y106" s="30">
        <f t="shared" si="42"/>
        <v>1311500</v>
      </c>
      <c r="Z106" s="30">
        <f t="shared" si="43"/>
        <v>0</v>
      </c>
      <c r="AA106" s="30">
        <f t="shared" si="44"/>
        <v>0</v>
      </c>
      <c r="AB106" s="30">
        <f t="shared" si="45"/>
        <v>0</v>
      </c>
      <c r="AC106" s="30">
        <f t="shared" si="46"/>
        <v>0</v>
      </c>
      <c r="AD106" s="30">
        <f t="shared" si="47"/>
        <v>0</v>
      </c>
      <c r="AE106" s="30">
        <f t="shared" si="48"/>
        <v>0</v>
      </c>
      <c r="AF106" s="30">
        <f t="shared" si="49"/>
        <v>0</v>
      </c>
      <c r="AG106" s="30">
        <f t="shared" si="50"/>
        <v>0</v>
      </c>
    </row>
    <row r="107" spans="1:33" x14ac:dyDescent="0.2">
      <c r="A107" s="118" t="s">
        <v>72</v>
      </c>
      <c r="B107" s="10" t="s">
        <v>56</v>
      </c>
      <c r="C107" s="60">
        <v>27457</v>
      </c>
      <c r="D107" s="121">
        <v>13500</v>
      </c>
      <c r="E107" s="56" t="s">
        <v>122</v>
      </c>
      <c r="F107" s="122">
        <f>1.11-0.102-0.0011-0.0153</f>
        <v>0.99159999999999993</v>
      </c>
      <c r="G107" s="122">
        <v>1.5299999999999999E-2</v>
      </c>
      <c r="H107" s="72">
        <f t="shared" si="39"/>
        <v>1.0068999999999999</v>
      </c>
      <c r="I107" s="63">
        <v>37225</v>
      </c>
      <c r="J107" s="64">
        <v>37256</v>
      </c>
      <c r="K107">
        <v>0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40"/>
        <v>0</v>
      </c>
      <c r="X107" s="30">
        <f t="shared" si="41"/>
        <v>418500</v>
      </c>
      <c r="Y107" s="30">
        <f t="shared" si="42"/>
        <v>0</v>
      </c>
      <c r="Z107" s="30">
        <f t="shared" si="43"/>
        <v>0</v>
      </c>
      <c r="AA107" s="30">
        <f t="shared" si="44"/>
        <v>0</v>
      </c>
      <c r="AB107" s="30">
        <f t="shared" si="45"/>
        <v>0</v>
      </c>
      <c r="AC107" s="30">
        <f t="shared" si="46"/>
        <v>0</v>
      </c>
      <c r="AD107" s="30">
        <f t="shared" si="47"/>
        <v>0</v>
      </c>
      <c r="AE107" s="30">
        <f t="shared" si="48"/>
        <v>0</v>
      </c>
      <c r="AF107" s="30">
        <f t="shared" si="49"/>
        <v>0</v>
      </c>
      <c r="AG107" s="30">
        <f t="shared" si="50"/>
        <v>0</v>
      </c>
    </row>
    <row r="108" spans="1:33" x14ac:dyDescent="0.2">
      <c r="A108" s="118" t="s">
        <v>72</v>
      </c>
      <c r="B108" s="10" t="s">
        <v>14</v>
      </c>
      <c r="C108" s="60">
        <v>26125</v>
      </c>
      <c r="D108" s="121">
        <v>8600</v>
      </c>
      <c r="E108" s="57" t="s">
        <v>115</v>
      </c>
      <c r="F108" s="122">
        <f>0.13-0.102-0.0011-0.0254</f>
        <v>1.5000000000000117E-3</v>
      </c>
      <c r="G108" s="122">
        <v>2.5399999999999999E-2</v>
      </c>
      <c r="H108" s="72">
        <f t="shared" si="39"/>
        <v>2.6900000000000011E-2</v>
      </c>
      <c r="I108" s="63">
        <v>35947</v>
      </c>
      <c r="J108" s="64">
        <v>37772</v>
      </c>
      <c r="K108">
        <v>366</v>
      </c>
      <c r="L108">
        <v>365</v>
      </c>
      <c r="M108">
        <v>365</v>
      </c>
      <c r="N108">
        <v>151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30">
        <f t="shared" si="40"/>
        <v>3147600</v>
      </c>
      <c r="X108" s="30">
        <f t="shared" si="41"/>
        <v>3139000</v>
      </c>
      <c r="Y108" s="30">
        <f t="shared" si="42"/>
        <v>3139000</v>
      </c>
      <c r="Z108" s="30">
        <f t="shared" si="43"/>
        <v>1298600</v>
      </c>
      <c r="AA108" s="30">
        <f t="shared" si="44"/>
        <v>0</v>
      </c>
      <c r="AB108" s="30">
        <f t="shared" si="45"/>
        <v>0</v>
      </c>
      <c r="AC108" s="30">
        <f t="shared" si="46"/>
        <v>0</v>
      </c>
      <c r="AD108" s="30">
        <f t="shared" si="47"/>
        <v>0</v>
      </c>
      <c r="AE108" s="30">
        <f t="shared" si="48"/>
        <v>0</v>
      </c>
      <c r="AF108" s="30">
        <f t="shared" si="49"/>
        <v>0</v>
      </c>
      <c r="AG108" s="30">
        <f t="shared" si="50"/>
        <v>0</v>
      </c>
    </row>
    <row r="109" spans="1:33" x14ac:dyDescent="0.2">
      <c r="A109" s="118" t="s">
        <v>72</v>
      </c>
      <c r="B109" s="10" t="s">
        <v>54</v>
      </c>
      <c r="C109" s="60">
        <v>26884</v>
      </c>
      <c r="D109" s="121">
        <v>40000</v>
      </c>
      <c r="E109" s="57" t="s">
        <v>115</v>
      </c>
      <c r="F109" s="122">
        <f>0.2025-0.102-0.0011-0.0254</f>
        <v>7.400000000000001E-2</v>
      </c>
      <c r="G109" s="122">
        <v>2.5399999999999999E-2</v>
      </c>
      <c r="H109" s="72">
        <f t="shared" si="39"/>
        <v>9.9400000000000016E-2</v>
      </c>
      <c r="I109" s="63">
        <v>36646</v>
      </c>
      <c r="J109" s="64">
        <v>38656</v>
      </c>
      <c r="K109">
        <v>245</v>
      </c>
      <c r="L109">
        <v>365</v>
      </c>
      <c r="M109">
        <v>365</v>
      </c>
      <c r="N109">
        <v>365</v>
      </c>
      <c r="O109">
        <v>366</v>
      </c>
      <c r="P109">
        <v>304</v>
      </c>
      <c r="Q109">
        <v>0</v>
      </c>
      <c r="R109">
        <v>0</v>
      </c>
      <c r="S109">
        <v>0</v>
      </c>
      <c r="T109">
        <v>0</v>
      </c>
      <c r="U109">
        <v>0</v>
      </c>
      <c r="W109" s="30">
        <f t="shared" si="40"/>
        <v>9800000</v>
      </c>
      <c r="X109" s="30">
        <f t="shared" si="41"/>
        <v>14600000</v>
      </c>
      <c r="Y109" s="30">
        <f t="shared" si="42"/>
        <v>14600000</v>
      </c>
      <c r="Z109" s="30">
        <f t="shared" si="43"/>
        <v>14600000</v>
      </c>
      <c r="AA109" s="30">
        <f t="shared" si="44"/>
        <v>14640000</v>
      </c>
      <c r="AB109" s="30">
        <f t="shared" si="45"/>
        <v>12160000</v>
      </c>
      <c r="AC109" s="30">
        <f t="shared" si="46"/>
        <v>0</v>
      </c>
      <c r="AD109" s="30">
        <f t="shared" si="47"/>
        <v>0</v>
      </c>
      <c r="AE109" s="30">
        <f t="shared" si="48"/>
        <v>0</v>
      </c>
      <c r="AF109" s="30">
        <f t="shared" si="49"/>
        <v>0</v>
      </c>
      <c r="AG109" s="30">
        <f t="shared" si="50"/>
        <v>0</v>
      </c>
    </row>
    <row r="110" spans="1:33" x14ac:dyDescent="0.2">
      <c r="A110" s="120" t="s">
        <v>72</v>
      </c>
      <c r="B110" s="10" t="s">
        <v>65</v>
      </c>
      <c r="C110" s="60">
        <v>26678</v>
      </c>
      <c r="D110" s="121">
        <v>25000</v>
      </c>
      <c r="E110" s="57" t="s">
        <v>115</v>
      </c>
      <c r="F110" s="122">
        <v>0.31240000000000001</v>
      </c>
      <c r="G110" s="122">
        <v>2.5399999999999999E-2</v>
      </c>
      <c r="H110" s="72">
        <f t="shared" si="39"/>
        <v>0.33779999999999999</v>
      </c>
      <c r="I110" s="63">
        <v>36525</v>
      </c>
      <c r="J110" s="64">
        <v>39172</v>
      </c>
      <c r="K110">
        <v>366</v>
      </c>
      <c r="L110">
        <v>365</v>
      </c>
      <c r="M110">
        <v>365</v>
      </c>
      <c r="N110">
        <v>365</v>
      </c>
      <c r="O110">
        <v>366</v>
      </c>
      <c r="P110">
        <v>365</v>
      </c>
      <c r="Q110">
        <v>90</v>
      </c>
      <c r="R110">
        <v>0</v>
      </c>
      <c r="S110">
        <v>0</v>
      </c>
      <c r="T110">
        <v>0</v>
      </c>
      <c r="U110">
        <v>0</v>
      </c>
      <c r="W110" s="30">
        <f t="shared" si="40"/>
        <v>9150000</v>
      </c>
      <c r="X110" s="30">
        <f t="shared" si="41"/>
        <v>9125000</v>
      </c>
      <c r="Y110" s="30">
        <f t="shared" si="42"/>
        <v>9125000</v>
      </c>
      <c r="Z110" s="30">
        <f t="shared" si="43"/>
        <v>9125000</v>
      </c>
      <c r="AA110" s="30">
        <f t="shared" si="44"/>
        <v>9150000</v>
      </c>
      <c r="AB110" s="30">
        <f t="shared" si="45"/>
        <v>9125000</v>
      </c>
      <c r="AC110" s="30">
        <f t="shared" si="46"/>
        <v>2250000</v>
      </c>
      <c r="AD110" s="30">
        <f t="shared" si="47"/>
        <v>0</v>
      </c>
      <c r="AE110" s="30">
        <f t="shared" si="48"/>
        <v>0</v>
      </c>
      <c r="AF110" s="30">
        <f t="shared" si="49"/>
        <v>0</v>
      </c>
      <c r="AG110" s="30">
        <f t="shared" si="50"/>
        <v>0</v>
      </c>
    </row>
    <row r="111" spans="1:33" x14ac:dyDescent="0.2">
      <c r="A111" s="101" t="s">
        <v>72</v>
      </c>
      <c r="B111" s="10" t="s">
        <v>27</v>
      </c>
      <c r="C111" s="60">
        <v>25847</v>
      </c>
      <c r="D111" s="121">
        <v>20000</v>
      </c>
      <c r="E111" s="57" t="s">
        <v>115</v>
      </c>
      <c r="F111" s="122">
        <f>0.126-0.0407-0.0093-0.0254</f>
        <v>5.0599999999999999E-2</v>
      </c>
      <c r="G111" s="122">
        <v>2.5399999999999999E-2</v>
      </c>
      <c r="H111" s="72">
        <f t="shared" si="39"/>
        <v>7.5999999999999998E-2</v>
      </c>
      <c r="I111" s="63"/>
      <c r="J111" s="64">
        <v>36556</v>
      </c>
      <c r="K111">
        <v>31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40"/>
        <v>620000</v>
      </c>
      <c r="X111" s="30">
        <f t="shared" si="41"/>
        <v>0</v>
      </c>
      <c r="Y111" s="30">
        <f t="shared" si="42"/>
        <v>0</v>
      </c>
      <c r="Z111" s="30">
        <f t="shared" si="43"/>
        <v>0</v>
      </c>
      <c r="AA111" s="30">
        <f t="shared" si="44"/>
        <v>0</v>
      </c>
      <c r="AB111" s="30">
        <f t="shared" si="45"/>
        <v>0</v>
      </c>
      <c r="AC111" s="30">
        <f t="shared" si="46"/>
        <v>0</v>
      </c>
      <c r="AD111" s="30">
        <f t="shared" si="47"/>
        <v>0</v>
      </c>
      <c r="AE111" s="30">
        <f t="shared" si="48"/>
        <v>0</v>
      </c>
      <c r="AF111" s="30">
        <f t="shared" si="49"/>
        <v>0</v>
      </c>
      <c r="AG111" s="30">
        <f t="shared" si="50"/>
        <v>0</v>
      </c>
    </row>
    <row r="112" spans="1:33" x14ac:dyDescent="0.2">
      <c r="A112" s="101" t="s">
        <v>72</v>
      </c>
      <c r="B112" s="10" t="s">
        <v>107</v>
      </c>
      <c r="C112" s="60">
        <v>26635</v>
      </c>
      <c r="D112" s="121">
        <v>500</v>
      </c>
      <c r="E112" s="56" t="s">
        <v>118</v>
      </c>
      <c r="F112" s="122">
        <f>0.3799-0.102-0.0071-0.0153</f>
        <v>0.25550000000000006</v>
      </c>
      <c r="G112" s="122">
        <v>1.5299999999999999E-2</v>
      </c>
      <c r="H112" s="72">
        <f t="shared" si="39"/>
        <v>0.27080000000000004</v>
      </c>
      <c r="I112" s="63">
        <v>36192</v>
      </c>
      <c r="J112" s="64">
        <v>37256</v>
      </c>
      <c r="K112">
        <v>345</v>
      </c>
      <c r="L112">
        <v>365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30">
        <f t="shared" si="40"/>
        <v>172500</v>
      </c>
      <c r="X112" s="30">
        <f t="shared" si="41"/>
        <v>182500</v>
      </c>
      <c r="Y112" s="30">
        <f t="shared" si="42"/>
        <v>0</v>
      </c>
      <c r="Z112" s="30">
        <f t="shared" si="43"/>
        <v>0</v>
      </c>
      <c r="AA112" s="30">
        <f t="shared" si="44"/>
        <v>0</v>
      </c>
      <c r="AB112" s="30">
        <f t="shared" si="45"/>
        <v>0</v>
      </c>
      <c r="AC112" s="30">
        <f t="shared" si="46"/>
        <v>0</v>
      </c>
      <c r="AD112" s="30">
        <f t="shared" si="47"/>
        <v>0</v>
      </c>
      <c r="AE112" s="30">
        <f t="shared" si="48"/>
        <v>0</v>
      </c>
      <c r="AF112" s="30">
        <f t="shared" si="49"/>
        <v>0</v>
      </c>
      <c r="AG112" s="30">
        <f t="shared" si="50"/>
        <v>0</v>
      </c>
    </row>
    <row r="113" spans="1:33" x14ac:dyDescent="0.2">
      <c r="A113" s="101" t="s">
        <v>72</v>
      </c>
      <c r="B113" s="10" t="s">
        <v>29</v>
      </c>
      <c r="C113" s="60">
        <v>26123</v>
      </c>
      <c r="D113" s="121">
        <v>2900</v>
      </c>
      <c r="E113" s="57" t="s">
        <v>115</v>
      </c>
      <c r="F113" s="122">
        <v>8.4699999999999998E-2</v>
      </c>
      <c r="G113" s="122">
        <v>1.5299999999999999E-2</v>
      </c>
      <c r="H113" s="72">
        <f t="shared" si="39"/>
        <v>9.9999999999999992E-2</v>
      </c>
      <c r="I113" s="63"/>
      <c r="J113" s="64">
        <v>36616</v>
      </c>
      <c r="K113">
        <v>91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40"/>
        <v>263900</v>
      </c>
      <c r="X113" s="30">
        <f t="shared" si="41"/>
        <v>0</v>
      </c>
      <c r="Y113" s="30">
        <f t="shared" si="42"/>
        <v>0</v>
      </c>
      <c r="Z113" s="30">
        <f t="shared" si="43"/>
        <v>0</v>
      </c>
      <c r="AA113" s="30">
        <f t="shared" si="44"/>
        <v>0</v>
      </c>
      <c r="AB113" s="30">
        <f t="shared" si="45"/>
        <v>0</v>
      </c>
      <c r="AC113" s="30">
        <f t="shared" si="46"/>
        <v>0</v>
      </c>
      <c r="AD113" s="30">
        <f t="shared" si="47"/>
        <v>0</v>
      </c>
      <c r="AE113" s="30">
        <f t="shared" si="48"/>
        <v>0</v>
      </c>
      <c r="AF113" s="30">
        <f t="shared" si="49"/>
        <v>0</v>
      </c>
      <c r="AG113" s="30">
        <f t="shared" si="50"/>
        <v>0</v>
      </c>
    </row>
    <row r="114" spans="1:33" x14ac:dyDescent="0.2">
      <c r="A114" s="118" t="s">
        <v>72</v>
      </c>
      <c r="B114" s="10" t="s">
        <v>29</v>
      </c>
      <c r="C114" s="60">
        <v>26813</v>
      </c>
      <c r="D114" s="121">
        <v>3500</v>
      </c>
      <c r="E114" s="57" t="s">
        <v>115</v>
      </c>
      <c r="F114" s="122">
        <f>0.1925-0.102-0.0011-0.0175</f>
        <v>7.1900000000000006E-2</v>
      </c>
      <c r="G114" s="125">
        <f>0.0186-0.0011</f>
        <v>1.7499999999999998E-2</v>
      </c>
      <c r="H114" s="72">
        <f t="shared" si="39"/>
        <v>8.9400000000000007E-2</v>
      </c>
      <c r="I114" s="63">
        <v>36646</v>
      </c>
      <c r="J114" s="64">
        <v>39506</v>
      </c>
      <c r="K114">
        <v>245</v>
      </c>
      <c r="L114">
        <v>365</v>
      </c>
      <c r="M114">
        <v>365</v>
      </c>
      <c r="N114">
        <v>365</v>
      </c>
      <c r="O114">
        <v>366</v>
      </c>
      <c r="P114">
        <v>365</v>
      </c>
      <c r="Q114">
        <v>365</v>
      </c>
      <c r="R114">
        <v>365</v>
      </c>
      <c r="S114">
        <v>59</v>
      </c>
      <c r="T114">
        <v>0</v>
      </c>
      <c r="U114">
        <v>0</v>
      </c>
      <c r="W114" s="30">
        <f t="shared" si="40"/>
        <v>857500</v>
      </c>
      <c r="X114" s="30">
        <f t="shared" si="41"/>
        <v>1277500</v>
      </c>
      <c r="Y114" s="30">
        <f t="shared" si="42"/>
        <v>1277500</v>
      </c>
      <c r="Z114" s="30">
        <f t="shared" si="43"/>
        <v>1277500</v>
      </c>
      <c r="AA114" s="30">
        <f t="shared" si="44"/>
        <v>1281000</v>
      </c>
      <c r="AB114" s="30">
        <f t="shared" si="45"/>
        <v>1277500</v>
      </c>
      <c r="AC114" s="30">
        <f t="shared" si="46"/>
        <v>1277500</v>
      </c>
      <c r="AD114" s="30">
        <f t="shared" si="47"/>
        <v>1277500</v>
      </c>
      <c r="AE114" s="30">
        <f t="shared" si="48"/>
        <v>206500</v>
      </c>
      <c r="AF114" s="30">
        <f t="shared" si="49"/>
        <v>0</v>
      </c>
      <c r="AG114" s="30">
        <f t="shared" si="50"/>
        <v>0</v>
      </c>
    </row>
    <row r="115" spans="1:33" x14ac:dyDescent="0.2">
      <c r="A115" s="120" t="s">
        <v>72</v>
      </c>
      <c r="B115" s="10" t="s">
        <v>29</v>
      </c>
      <c r="C115" s="60">
        <v>27583</v>
      </c>
      <c r="D115" s="121">
        <v>1300</v>
      </c>
      <c r="E115" s="56" t="s">
        <v>116</v>
      </c>
      <c r="F115" s="122">
        <v>0.22889999999999999</v>
      </c>
      <c r="G115" s="122">
        <v>1.5299999999999999E-2</v>
      </c>
      <c r="H115" s="72">
        <f t="shared" si="39"/>
        <v>0.2442</v>
      </c>
      <c r="I115" s="63">
        <v>37012</v>
      </c>
      <c r="J115" s="64">
        <v>37407</v>
      </c>
      <c r="K115">
        <v>0</v>
      </c>
      <c r="L115">
        <v>245</v>
      </c>
      <c r="M115">
        <v>151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 s="30">
        <f t="shared" si="40"/>
        <v>0</v>
      </c>
      <c r="X115" s="30">
        <f t="shared" si="41"/>
        <v>318500</v>
      </c>
      <c r="Y115" s="30">
        <f t="shared" si="42"/>
        <v>196300</v>
      </c>
      <c r="Z115" s="30">
        <f t="shared" si="43"/>
        <v>0</v>
      </c>
      <c r="AA115" s="30">
        <f t="shared" si="44"/>
        <v>0</v>
      </c>
      <c r="AB115" s="30">
        <f t="shared" si="45"/>
        <v>0</v>
      </c>
      <c r="AC115" s="30">
        <f t="shared" si="46"/>
        <v>0</v>
      </c>
      <c r="AD115" s="30">
        <f t="shared" si="47"/>
        <v>0</v>
      </c>
      <c r="AE115" s="30">
        <f t="shared" si="48"/>
        <v>0</v>
      </c>
      <c r="AF115" s="30">
        <f t="shared" si="49"/>
        <v>0</v>
      </c>
      <c r="AG115" s="30">
        <f t="shared" si="50"/>
        <v>0</v>
      </c>
    </row>
    <row r="116" spans="1:33" x14ac:dyDescent="0.2">
      <c r="A116" s="101" t="s">
        <v>72</v>
      </c>
      <c r="B116" s="10" t="s">
        <v>69</v>
      </c>
      <c r="C116" s="60">
        <v>27340</v>
      </c>
      <c r="D116" s="121">
        <v>20000</v>
      </c>
      <c r="E116" s="56" t="s">
        <v>118</v>
      </c>
      <c r="F116" s="122">
        <f>0.3769-0.102-0.0071-0.0223</f>
        <v>0.24550000000000005</v>
      </c>
      <c r="G116" s="125">
        <f>0.0316-0.0093</f>
        <v>2.2300000000000004E-2</v>
      </c>
      <c r="H116" s="72">
        <f t="shared" si="39"/>
        <v>0.26780000000000004</v>
      </c>
      <c r="I116" s="63">
        <v>36923</v>
      </c>
      <c r="J116" s="64">
        <v>37287</v>
      </c>
      <c r="K116">
        <v>0</v>
      </c>
      <c r="L116">
        <v>334</v>
      </c>
      <c r="M116">
        <v>31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40"/>
        <v>0</v>
      </c>
      <c r="X116" s="30">
        <f t="shared" si="41"/>
        <v>6680000</v>
      </c>
      <c r="Y116" s="30">
        <f t="shared" si="42"/>
        <v>620000</v>
      </c>
      <c r="Z116" s="30">
        <f t="shared" si="43"/>
        <v>0</v>
      </c>
      <c r="AA116" s="30">
        <f t="shared" si="44"/>
        <v>0</v>
      </c>
      <c r="AB116" s="30">
        <f t="shared" si="45"/>
        <v>0</v>
      </c>
      <c r="AC116" s="30">
        <f t="shared" si="46"/>
        <v>0</v>
      </c>
      <c r="AD116" s="30">
        <f t="shared" si="47"/>
        <v>0</v>
      </c>
      <c r="AE116" s="30">
        <f t="shared" si="48"/>
        <v>0</v>
      </c>
      <c r="AF116" s="30">
        <f t="shared" si="49"/>
        <v>0</v>
      </c>
      <c r="AG116" s="30">
        <f t="shared" si="50"/>
        <v>0</v>
      </c>
    </row>
    <row r="117" spans="1:33" x14ac:dyDescent="0.2">
      <c r="A117" s="120" t="s">
        <v>72</v>
      </c>
      <c r="B117" s="10" t="s">
        <v>36</v>
      </c>
      <c r="C117" s="60">
        <v>21165</v>
      </c>
      <c r="D117" s="121">
        <v>150000</v>
      </c>
      <c r="E117" s="56" t="s">
        <v>117</v>
      </c>
      <c r="F117" s="122">
        <v>0.31380000000000002</v>
      </c>
      <c r="G117" s="122">
        <v>2.5399999999999999E-2</v>
      </c>
      <c r="H117" s="72">
        <f t="shared" si="39"/>
        <v>0.3392</v>
      </c>
      <c r="I117" s="66">
        <v>33679</v>
      </c>
      <c r="J117" s="64">
        <v>39172</v>
      </c>
      <c r="K117">
        <v>366</v>
      </c>
      <c r="L117">
        <v>365</v>
      </c>
      <c r="M117">
        <v>365</v>
      </c>
      <c r="N117">
        <v>365</v>
      </c>
      <c r="O117">
        <v>366</v>
      </c>
      <c r="P117">
        <v>365</v>
      </c>
      <c r="Q117">
        <v>365</v>
      </c>
      <c r="R117">
        <v>90</v>
      </c>
      <c r="S117">
        <v>0</v>
      </c>
      <c r="T117">
        <v>0</v>
      </c>
      <c r="U117">
        <v>0</v>
      </c>
      <c r="W117" s="30">
        <f t="shared" si="40"/>
        <v>54900000</v>
      </c>
      <c r="X117" s="30">
        <f t="shared" si="41"/>
        <v>54750000</v>
      </c>
      <c r="Y117" s="30">
        <f t="shared" si="42"/>
        <v>54750000</v>
      </c>
      <c r="Z117" s="30">
        <f t="shared" si="43"/>
        <v>54750000</v>
      </c>
      <c r="AA117" s="30">
        <f t="shared" si="44"/>
        <v>54900000</v>
      </c>
      <c r="AB117" s="30">
        <f t="shared" si="45"/>
        <v>54750000</v>
      </c>
      <c r="AC117" s="30">
        <f t="shared" si="46"/>
        <v>54750000</v>
      </c>
      <c r="AD117" s="30">
        <f t="shared" si="47"/>
        <v>13500000</v>
      </c>
      <c r="AE117" s="30">
        <f t="shared" si="48"/>
        <v>0</v>
      </c>
      <c r="AF117" s="30">
        <f t="shared" si="49"/>
        <v>0</v>
      </c>
      <c r="AG117" s="30">
        <f t="shared" si="50"/>
        <v>0</v>
      </c>
    </row>
    <row r="118" spans="1:33" x14ac:dyDescent="0.2">
      <c r="A118" s="118" t="s">
        <v>72</v>
      </c>
      <c r="B118" s="10" t="s">
        <v>75</v>
      </c>
      <c r="C118" s="60">
        <v>21162</v>
      </c>
      <c r="D118" s="121">
        <v>0</v>
      </c>
      <c r="H118" s="72">
        <f t="shared" si="39"/>
        <v>0</v>
      </c>
      <c r="I118" s="63"/>
      <c r="J118" s="64">
        <v>39156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40"/>
        <v>0</v>
      </c>
      <c r="X118" s="30">
        <f t="shared" si="41"/>
        <v>0</v>
      </c>
      <c r="Y118" s="30">
        <f t="shared" si="42"/>
        <v>0</v>
      </c>
      <c r="Z118" s="30">
        <f t="shared" si="43"/>
        <v>0</v>
      </c>
      <c r="AA118" s="30">
        <f t="shared" si="44"/>
        <v>0</v>
      </c>
      <c r="AB118" s="30">
        <f t="shared" si="45"/>
        <v>0</v>
      </c>
      <c r="AC118" s="30">
        <f t="shared" si="46"/>
        <v>0</v>
      </c>
      <c r="AD118" s="30">
        <f t="shared" si="47"/>
        <v>0</v>
      </c>
      <c r="AE118" s="30">
        <f t="shared" si="48"/>
        <v>0</v>
      </c>
      <c r="AF118" s="30">
        <f t="shared" si="49"/>
        <v>0</v>
      </c>
      <c r="AG118" s="30">
        <f t="shared" si="50"/>
        <v>0</v>
      </c>
    </row>
    <row r="119" spans="1:33" x14ac:dyDescent="0.2">
      <c r="A119" s="101" t="s">
        <v>72</v>
      </c>
      <c r="B119" s="10" t="s">
        <v>26</v>
      </c>
      <c r="C119" s="60">
        <v>25841</v>
      </c>
      <c r="D119" s="121">
        <v>40000</v>
      </c>
      <c r="E119" s="56" t="s">
        <v>115</v>
      </c>
      <c r="F119" s="122">
        <f>0.1075-0.0407-0.0093-0.0153</f>
        <v>4.2199999999999994E-2</v>
      </c>
      <c r="G119" s="122">
        <f>0.0246-0.0093</f>
        <v>1.5300000000000001E-2</v>
      </c>
      <c r="H119" s="72">
        <f t="shared" si="39"/>
        <v>5.7499999999999996E-2</v>
      </c>
      <c r="I119" s="63">
        <v>35827</v>
      </c>
      <c r="J119" s="64">
        <v>37560</v>
      </c>
      <c r="K119">
        <v>366</v>
      </c>
      <c r="L119">
        <v>365</v>
      </c>
      <c r="M119">
        <v>304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40"/>
        <v>14640000</v>
      </c>
      <c r="X119" s="30">
        <f t="shared" si="41"/>
        <v>14600000</v>
      </c>
      <c r="Y119" s="30">
        <f t="shared" si="42"/>
        <v>12160000</v>
      </c>
      <c r="Z119" s="30">
        <f t="shared" si="43"/>
        <v>0</v>
      </c>
      <c r="AA119" s="30">
        <f t="shared" si="44"/>
        <v>0</v>
      </c>
      <c r="AB119" s="30">
        <f t="shared" si="45"/>
        <v>0</v>
      </c>
      <c r="AC119" s="30">
        <f t="shared" si="46"/>
        <v>0</v>
      </c>
      <c r="AD119" s="30">
        <f t="shared" si="47"/>
        <v>0</v>
      </c>
      <c r="AE119" s="30">
        <f t="shared" si="48"/>
        <v>0</v>
      </c>
      <c r="AF119" s="30">
        <f t="shared" si="49"/>
        <v>0</v>
      </c>
      <c r="AG119" s="30">
        <f t="shared" si="50"/>
        <v>0</v>
      </c>
    </row>
    <row r="120" spans="1:33" x14ac:dyDescent="0.2">
      <c r="A120" s="101" t="s">
        <v>72</v>
      </c>
      <c r="B120" s="10" t="s">
        <v>26</v>
      </c>
      <c r="C120" s="60">
        <v>26511</v>
      </c>
      <c r="D120" s="121">
        <v>21000</v>
      </c>
      <c r="E120" s="56" t="s">
        <v>115</v>
      </c>
      <c r="F120" s="122">
        <f>0.1075-0.0407-0.0093-0.0153</f>
        <v>4.2199999999999994E-2</v>
      </c>
      <c r="G120" s="122">
        <f>0.0246-0.0093</f>
        <v>1.5300000000000001E-2</v>
      </c>
      <c r="H120" s="72">
        <f t="shared" si="39"/>
        <v>5.7499999999999996E-2</v>
      </c>
      <c r="I120" s="63">
        <v>36100</v>
      </c>
      <c r="J120" s="64">
        <v>37560</v>
      </c>
      <c r="K120">
        <v>366</v>
      </c>
      <c r="L120">
        <v>365</v>
      </c>
      <c r="M120">
        <v>304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30">
        <f t="shared" si="40"/>
        <v>7686000</v>
      </c>
      <c r="X120" s="30">
        <f t="shared" si="41"/>
        <v>7665000</v>
      </c>
      <c r="Y120" s="30">
        <f t="shared" si="42"/>
        <v>6384000</v>
      </c>
      <c r="Z120" s="30">
        <f t="shared" si="43"/>
        <v>0</v>
      </c>
      <c r="AA120" s="30">
        <f t="shared" si="44"/>
        <v>0</v>
      </c>
      <c r="AB120" s="30">
        <f t="shared" si="45"/>
        <v>0</v>
      </c>
      <c r="AC120" s="30">
        <f t="shared" si="46"/>
        <v>0</v>
      </c>
      <c r="AD120" s="30">
        <f t="shared" si="47"/>
        <v>0</v>
      </c>
      <c r="AE120" s="30">
        <f t="shared" si="48"/>
        <v>0</v>
      </c>
      <c r="AF120" s="30">
        <f t="shared" si="49"/>
        <v>0</v>
      </c>
      <c r="AG120" s="30">
        <f t="shared" si="50"/>
        <v>0</v>
      </c>
    </row>
    <row r="121" spans="1:33" x14ac:dyDescent="0.2">
      <c r="A121" s="101" t="s">
        <v>72</v>
      </c>
      <c r="B121" s="10" t="s">
        <v>67</v>
      </c>
      <c r="C121" s="60">
        <v>26819</v>
      </c>
      <c r="D121" s="121">
        <v>10000</v>
      </c>
      <c r="E121" s="58" t="s">
        <v>115</v>
      </c>
      <c r="F121" s="122">
        <f>0.12-0.0407-0.0093-0.0153</f>
        <v>5.4699999999999992E-2</v>
      </c>
      <c r="G121" s="122">
        <v>1.5299999999999999E-2</v>
      </c>
      <c r="H121" s="72">
        <f t="shared" si="39"/>
        <v>6.9999999999999993E-2</v>
      </c>
      <c r="I121" s="63">
        <v>36647</v>
      </c>
      <c r="J121" s="64">
        <v>38472</v>
      </c>
      <c r="K121">
        <v>245</v>
      </c>
      <c r="L121">
        <v>365</v>
      </c>
      <c r="M121">
        <v>365</v>
      </c>
      <c r="N121">
        <v>365</v>
      </c>
      <c r="O121">
        <v>366</v>
      </c>
      <c r="P121">
        <v>120</v>
      </c>
      <c r="Q121">
        <v>0</v>
      </c>
      <c r="R121">
        <v>0</v>
      </c>
      <c r="S121">
        <v>0</v>
      </c>
      <c r="T121">
        <v>0</v>
      </c>
      <c r="U121">
        <v>0</v>
      </c>
      <c r="W121" s="30">
        <f t="shared" si="40"/>
        <v>2450000</v>
      </c>
      <c r="X121" s="30">
        <f t="shared" si="41"/>
        <v>3650000</v>
      </c>
      <c r="Y121" s="30">
        <f t="shared" si="42"/>
        <v>3650000</v>
      </c>
      <c r="Z121" s="30">
        <f t="shared" si="43"/>
        <v>3650000</v>
      </c>
      <c r="AA121" s="30">
        <f t="shared" si="44"/>
        <v>3660000</v>
      </c>
      <c r="AB121" s="30">
        <f t="shared" si="45"/>
        <v>1200000</v>
      </c>
      <c r="AC121" s="30">
        <f t="shared" si="46"/>
        <v>0</v>
      </c>
      <c r="AD121" s="30">
        <f t="shared" si="47"/>
        <v>0</v>
      </c>
      <c r="AE121" s="30">
        <f t="shared" si="48"/>
        <v>0</v>
      </c>
      <c r="AF121" s="30">
        <f t="shared" si="49"/>
        <v>0</v>
      </c>
      <c r="AG121" s="30">
        <f t="shared" si="50"/>
        <v>0</v>
      </c>
    </row>
    <row r="122" spans="1:33" x14ac:dyDescent="0.2">
      <c r="A122" s="118" t="s">
        <v>72</v>
      </c>
      <c r="B122" s="10" t="s">
        <v>58</v>
      </c>
      <c r="C122" s="60">
        <v>27454</v>
      </c>
      <c r="D122" s="121">
        <v>27500</v>
      </c>
      <c r="E122" s="56" t="s">
        <v>122</v>
      </c>
      <c r="F122" s="122">
        <f>1.32-0.102-0.0011-0.0153</f>
        <v>1.2015999999999998</v>
      </c>
      <c r="G122" s="122">
        <v>1.5299999999999999E-2</v>
      </c>
      <c r="H122" s="72">
        <f t="shared" si="39"/>
        <v>1.2168999999999999</v>
      </c>
      <c r="I122" s="63">
        <v>37256</v>
      </c>
      <c r="J122" s="64">
        <v>37621</v>
      </c>
      <c r="K122">
        <v>0</v>
      </c>
      <c r="L122">
        <v>0</v>
      </c>
      <c r="M122">
        <v>365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30">
        <f t="shared" si="40"/>
        <v>0</v>
      </c>
      <c r="X122" s="30">
        <f t="shared" si="41"/>
        <v>0</v>
      </c>
      <c r="Y122" s="30">
        <f t="shared" si="42"/>
        <v>10037500</v>
      </c>
      <c r="Z122" s="30">
        <f t="shared" si="43"/>
        <v>0</v>
      </c>
      <c r="AA122" s="30">
        <f t="shared" si="44"/>
        <v>0</v>
      </c>
      <c r="AB122" s="30">
        <f t="shared" si="45"/>
        <v>0</v>
      </c>
      <c r="AC122" s="30">
        <f t="shared" si="46"/>
        <v>0</v>
      </c>
      <c r="AD122" s="30">
        <f t="shared" si="47"/>
        <v>0</v>
      </c>
      <c r="AE122" s="30">
        <f t="shared" si="48"/>
        <v>0</v>
      </c>
      <c r="AF122" s="30">
        <f t="shared" si="49"/>
        <v>0</v>
      </c>
      <c r="AG122" s="30">
        <f t="shared" si="50"/>
        <v>0</v>
      </c>
    </row>
    <row r="123" spans="1:33" x14ac:dyDescent="0.2">
      <c r="A123" s="120" t="s">
        <v>72</v>
      </c>
      <c r="B123" s="10" t="s">
        <v>18</v>
      </c>
      <c r="C123" s="60">
        <v>20746</v>
      </c>
      <c r="D123" s="121">
        <v>20000</v>
      </c>
      <c r="E123" s="56" t="s">
        <v>117</v>
      </c>
      <c r="F123" s="122">
        <v>0.31090000000000001</v>
      </c>
      <c r="G123" s="122">
        <v>1.84E-2</v>
      </c>
      <c r="H123" s="72">
        <f t="shared" si="39"/>
        <v>0.32930000000000004</v>
      </c>
      <c r="I123" s="63">
        <v>35855</v>
      </c>
      <c r="J123" s="64">
        <v>39141</v>
      </c>
      <c r="K123">
        <v>366</v>
      </c>
      <c r="L123">
        <v>365</v>
      </c>
      <c r="M123">
        <v>365</v>
      </c>
      <c r="N123">
        <v>365</v>
      </c>
      <c r="O123">
        <v>366</v>
      </c>
      <c r="P123">
        <v>365</v>
      </c>
      <c r="Q123">
        <v>365</v>
      </c>
      <c r="R123">
        <v>59</v>
      </c>
      <c r="S123">
        <v>0</v>
      </c>
      <c r="T123">
        <v>0</v>
      </c>
      <c r="U123">
        <v>0</v>
      </c>
      <c r="W123" s="30">
        <f t="shared" si="40"/>
        <v>7320000</v>
      </c>
      <c r="X123" s="30">
        <f t="shared" si="41"/>
        <v>7300000</v>
      </c>
      <c r="Y123" s="30">
        <f t="shared" si="42"/>
        <v>7300000</v>
      </c>
      <c r="Z123" s="30">
        <f t="shared" si="43"/>
        <v>7300000</v>
      </c>
      <c r="AA123" s="30">
        <f t="shared" si="44"/>
        <v>7320000</v>
      </c>
      <c r="AB123" s="30">
        <f t="shared" si="45"/>
        <v>7300000</v>
      </c>
      <c r="AC123" s="30">
        <f t="shared" si="46"/>
        <v>7300000</v>
      </c>
      <c r="AD123" s="30">
        <f t="shared" si="47"/>
        <v>1180000</v>
      </c>
      <c r="AE123" s="30">
        <f t="shared" si="48"/>
        <v>0</v>
      </c>
      <c r="AF123" s="30">
        <f t="shared" si="49"/>
        <v>0</v>
      </c>
      <c r="AG123" s="30">
        <f t="shared" si="50"/>
        <v>0</v>
      </c>
    </row>
    <row r="124" spans="1:33" x14ac:dyDescent="0.2">
      <c r="A124" s="118" t="s">
        <v>72</v>
      </c>
      <c r="B124" s="10" t="s">
        <v>49</v>
      </c>
      <c r="C124" s="60">
        <v>26816</v>
      </c>
      <c r="D124" s="121">
        <v>21500</v>
      </c>
      <c r="E124" s="57" t="s">
        <v>115</v>
      </c>
      <c r="F124" s="122">
        <f>0.17-0.102-0.0011-0.0153</f>
        <v>5.1600000000000014E-2</v>
      </c>
      <c r="G124" s="122">
        <v>1.5299999999999999E-2</v>
      </c>
      <c r="H124" s="72">
        <f t="shared" si="39"/>
        <v>6.6900000000000015E-2</v>
      </c>
      <c r="I124" s="63">
        <v>36646</v>
      </c>
      <c r="J124" s="64">
        <v>38472</v>
      </c>
      <c r="K124">
        <v>245</v>
      </c>
      <c r="L124">
        <v>365</v>
      </c>
      <c r="M124">
        <v>365</v>
      </c>
      <c r="N124">
        <v>365</v>
      </c>
      <c r="O124">
        <v>366</v>
      </c>
      <c r="P124">
        <v>120</v>
      </c>
      <c r="Q124">
        <v>0</v>
      </c>
      <c r="R124">
        <v>0</v>
      </c>
      <c r="S124">
        <v>0</v>
      </c>
      <c r="T124">
        <v>0</v>
      </c>
      <c r="U124">
        <v>0</v>
      </c>
      <c r="W124" s="30">
        <f t="shared" si="40"/>
        <v>5267500</v>
      </c>
      <c r="X124" s="30">
        <f t="shared" si="41"/>
        <v>7847500</v>
      </c>
      <c r="Y124" s="30">
        <f t="shared" si="42"/>
        <v>7847500</v>
      </c>
      <c r="Z124" s="30">
        <f t="shared" si="43"/>
        <v>7847500</v>
      </c>
      <c r="AA124" s="30">
        <f t="shared" si="44"/>
        <v>7869000</v>
      </c>
      <c r="AB124" s="30">
        <f t="shared" si="45"/>
        <v>2580000</v>
      </c>
      <c r="AC124" s="30">
        <f t="shared" si="46"/>
        <v>0</v>
      </c>
      <c r="AD124" s="30">
        <f t="shared" si="47"/>
        <v>0</v>
      </c>
      <c r="AE124" s="30">
        <f t="shared" si="48"/>
        <v>0</v>
      </c>
      <c r="AF124" s="30">
        <f t="shared" si="49"/>
        <v>0</v>
      </c>
      <c r="AG124" s="30">
        <f t="shared" si="50"/>
        <v>0</v>
      </c>
    </row>
    <row r="125" spans="1:33" x14ac:dyDescent="0.2">
      <c r="A125" s="101" t="s">
        <v>72</v>
      </c>
      <c r="B125" s="10" t="s">
        <v>49</v>
      </c>
      <c r="C125" s="60">
        <v>27293</v>
      </c>
      <c r="D125" s="121">
        <v>49000</v>
      </c>
      <c r="E125" s="57" t="s">
        <v>115</v>
      </c>
      <c r="F125" s="122">
        <f>0.285-0.102-0.0071-0.0153</f>
        <v>0.16059999999999999</v>
      </c>
      <c r="G125" s="122">
        <f>0.0224-0.0071</f>
        <v>1.5299999999999999E-2</v>
      </c>
      <c r="H125" s="72">
        <f t="shared" si="39"/>
        <v>0.1759</v>
      </c>
      <c r="I125" s="63">
        <v>36831</v>
      </c>
      <c r="J125" s="64">
        <v>37195</v>
      </c>
      <c r="K125">
        <v>61</v>
      </c>
      <c r="L125">
        <v>304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30">
        <f t="shared" si="40"/>
        <v>2989000</v>
      </c>
      <c r="X125" s="30">
        <f t="shared" si="41"/>
        <v>14896000</v>
      </c>
      <c r="Y125" s="30">
        <f t="shared" si="42"/>
        <v>0</v>
      </c>
      <c r="Z125" s="30">
        <f t="shared" si="43"/>
        <v>0</v>
      </c>
      <c r="AA125" s="30">
        <f t="shared" si="44"/>
        <v>0</v>
      </c>
      <c r="AB125" s="30">
        <f t="shared" si="45"/>
        <v>0</v>
      </c>
      <c r="AC125" s="30">
        <f t="shared" si="46"/>
        <v>0</v>
      </c>
      <c r="AD125" s="30">
        <f t="shared" si="47"/>
        <v>0</v>
      </c>
      <c r="AE125" s="30">
        <f t="shared" si="48"/>
        <v>0</v>
      </c>
      <c r="AF125" s="30">
        <f t="shared" si="49"/>
        <v>0</v>
      </c>
      <c r="AG125" s="30">
        <f t="shared" si="50"/>
        <v>0</v>
      </c>
    </row>
    <row r="126" spans="1:33" x14ac:dyDescent="0.2">
      <c r="A126" s="101" t="s">
        <v>72</v>
      </c>
      <c r="B126" s="10" t="s">
        <v>49</v>
      </c>
      <c r="C126" s="60">
        <v>27352</v>
      </c>
      <c r="D126" s="121">
        <v>21500</v>
      </c>
      <c r="E126" s="56" t="s">
        <v>122</v>
      </c>
      <c r="F126" s="125">
        <f>0.3-0.0407-0.0093-0.0153</f>
        <v>0.23469999999999996</v>
      </c>
      <c r="G126" s="122">
        <v>1.5299999999999999E-2</v>
      </c>
      <c r="H126" s="72">
        <f t="shared" si="39"/>
        <v>0.24999999999999997</v>
      </c>
      <c r="I126" s="63">
        <v>37196</v>
      </c>
      <c r="J126" s="64">
        <v>37560</v>
      </c>
      <c r="K126">
        <v>0</v>
      </c>
      <c r="L126">
        <v>61</v>
      </c>
      <c r="M126">
        <v>304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30">
        <f t="shared" si="40"/>
        <v>0</v>
      </c>
      <c r="X126" s="30">
        <f t="shared" si="41"/>
        <v>1311500</v>
      </c>
      <c r="Y126" s="30">
        <f t="shared" si="42"/>
        <v>6536000</v>
      </c>
      <c r="Z126" s="30">
        <f t="shared" si="43"/>
        <v>0</v>
      </c>
      <c r="AA126" s="30">
        <f t="shared" si="44"/>
        <v>0</v>
      </c>
      <c r="AB126" s="30">
        <f t="shared" si="45"/>
        <v>0</v>
      </c>
      <c r="AC126" s="30">
        <f t="shared" si="46"/>
        <v>0</v>
      </c>
      <c r="AD126" s="30">
        <f t="shared" si="47"/>
        <v>0</v>
      </c>
      <c r="AE126" s="30">
        <f t="shared" si="48"/>
        <v>0</v>
      </c>
      <c r="AF126" s="30">
        <f t="shared" si="49"/>
        <v>0</v>
      </c>
      <c r="AG126" s="30">
        <f t="shared" si="50"/>
        <v>0</v>
      </c>
    </row>
    <row r="127" spans="1:33" x14ac:dyDescent="0.2">
      <c r="A127" s="118" t="s">
        <v>72</v>
      </c>
      <c r="B127" s="10" t="s">
        <v>49</v>
      </c>
      <c r="C127" s="60">
        <v>27504</v>
      </c>
      <c r="D127" s="121">
        <v>35000</v>
      </c>
      <c r="E127" s="56" t="s">
        <v>122</v>
      </c>
      <c r="F127" s="79">
        <f>0.3823-0.102-0.0011-0.0153</f>
        <v>0.26390000000000002</v>
      </c>
      <c r="G127" s="122">
        <v>1.5299999999999999E-2</v>
      </c>
      <c r="H127" s="72">
        <f t="shared" si="39"/>
        <v>0.2792</v>
      </c>
      <c r="I127" s="63">
        <v>37986</v>
      </c>
      <c r="J127" s="64">
        <v>38717</v>
      </c>
      <c r="K127">
        <v>0</v>
      </c>
      <c r="L127">
        <v>0</v>
      </c>
      <c r="M127">
        <v>0</v>
      </c>
      <c r="N127">
        <v>0</v>
      </c>
      <c r="O127">
        <v>366</v>
      </c>
      <c r="P127">
        <v>365</v>
      </c>
      <c r="Q127">
        <v>0</v>
      </c>
      <c r="R127">
        <v>0</v>
      </c>
      <c r="S127">
        <v>0</v>
      </c>
      <c r="T127">
        <v>0</v>
      </c>
      <c r="U127">
        <v>0</v>
      </c>
      <c r="W127" s="30">
        <f t="shared" si="40"/>
        <v>0</v>
      </c>
      <c r="X127" s="30">
        <f t="shared" si="41"/>
        <v>0</v>
      </c>
      <c r="Y127" s="30">
        <f t="shared" si="42"/>
        <v>0</v>
      </c>
      <c r="Z127" s="30">
        <f t="shared" si="43"/>
        <v>0</v>
      </c>
      <c r="AA127" s="30">
        <f t="shared" si="44"/>
        <v>12810000</v>
      </c>
      <c r="AB127" s="30">
        <f t="shared" si="45"/>
        <v>12775000</v>
      </c>
      <c r="AC127" s="30">
        <f t="shared" si="46"/>
        <v>0</v>
      </c>
      <c r="AD127" s="30">
        <f t="shared" si="47"/>
        <v>0</v>
      </c>
      <c r="AE127" s="30">
        <f t="shared" si="48"/>
        <v>0</v>
      </c>
      <c r="AF127" s="30">
        <f t="shared" si="49"/>
        <v>0</v>
      </c>
      <c r="AG127" s="30">
        <f t="shared" si="50"/>
        <v>0</v>
      </c>
    </row>
    <row r="128" spans="1:33" x14ac:dyDescent="0.2">
      <c r="A128" s="118" t="s">
        <v>72</v>
      </c>
      <c r="B128" s="10" t="s">
        <v>23</v>
      </c>
      <c r="C128" s="60">
        <v>24670</v>
      </c>
      <c r="D128" s="121">
        <v>10000</v>
      </c>
      <c r="E128" s="56" t="s">
        <v>121</v>
      </c>
      <c r="F128" s="122">
        <f>0.17-0.102-0.0153-0.0011</f>
        <v>5.1600000000000021E-2</v>
      </c>
      <c r="G128" s="122">
        <v>1.5299999999999999E-2</v>
      </c>
      <c r="H128" s="72">
        <f t="shared" si="39"/>
        <v>6.6900000000000015E-2</v>
      </c>
      <c r="I128" s="63">
        <v>35490</v>
      </c>
      <c r="J128" s="64">
        <v>39172</v>
      </c>
      <c r="K128">
        <v>366</v>
      </c>
      <c r="L128">
        <v>365</v>
      </c>
      <c r="M128">
        <v>365</v>
      </c>
      <c r="N128">
        <v>365</v>
      </c>
      <c r="O128">
        <v>366</v>
      </c>
      <c r="P128">
        <v>365</v>
      </c>
      <c r="Q128">
        <v>365</v>
      </c>
      <c r="R128">
        <v>90</v>
      </c>
      <c r="S128">
        <v>0</v>
      </c>
      <c r="T128">
        <v>0</v>
      </c>
      <c r="U128">
        <v>0</v>
      </c>
      <c r="W128" s="30">
        <f t="shared" si="40"/>
        <v>3660000</v>
      </c>
      <c r="X128" s="30">
        <f t="shared" si="41"/>
        <v>3650000</v>
      </c>
      <c r="Y128" s="30">
        <f t="shared" si="42"/>
        <v>3650000</v>
      </c>
      <c r="Z128" s="30">
        <f t="shared" si="43"/>
        <v>3650000</v>
      </c>
      <c r="AA128" s="30">
        <f t="shared" si="44"/>
        <v>3660000</v>
      </c>
      <c r="AB128" s="30">
        <f t="shared" si="45"/>
        <v>3650000</v>
      </c>
      <c r="AC128" s="30">
        <f t="shared" si="46"/>
        <v>3650000</v>
      </c>
      <c r="AD128" s="30">
        <f t="shared" si="47"/>
        <v>900000</v>
      </c>
      <c r="AE128" s="30">
        <f t="shared" si="48"/>
        <v>0</v>
      </c>
      <c r="AF128" s="30">
        <f t="shared" si="49"/>
        <v>0</v>
      </c>
      <c r="AG128" s="30">
        <f t="shared" si="50"/>
        <v>0</v>
      </c>
    </row>
    <row r="129" spans="1:33" x14ac:dyDescent="0.2">
      <c r="A129" s="101" t="s">
        <v>72</v>
      </c>
      <c r="B129" s="10" t="s">
        <v>33</v>
      </c>
      <c r="C129" s="60">
        <v>8255</v>
      </c>
      <c r="D129" s="121">
        <v>306000</v>
      </c>
      <c r="E129" s="56" t="s">
        <v>117</v>
      </c>
      <c r="F129" s="122">
        <f>0.4336-0.102-0.0071-0.0153</f>
        <v>0.30920000000000003</v>
      </c>
      <c r="G129" s="122">
        <f>0.0224-0.0071</f>
        <v>1.5299999999999999E-2</v>
      </c>
      <c r="H129" s="72">
        <f t="shared" si="39"/>
        <v>0.32450000000000001</v>
      </c>
      <c r="I129" s="63">
        <v>32782</v>
      </c>
      <c r="J129" s="64">
        <v>38656</v>
      </c>
      <c r="K129">
        <v>366</v>
      </c>
      <c r="L129">
        <v>365</v>
      </c>
      <c r="M129">
        <v>365</v>
      </c>
      <c r="N129">
        <v>365</v>
      </c>
      <c r="O129">
        <v>366</v>
      </c>
      <c r="P129">
        <v>304</v>
      </c>
      <c r="Q129">
        <v>0</v>
      </c>
      <c r="R129">
        <v>0</v>
      </c>
      <c r="S129">
        <v>0</v>
      </c>
      <c r="T129">
        <v>0</v>
      </c>
      <c r="U129">
        <v>0</v>
      </c>
      <c r="W129" s="30">
        <f t="shared" si="40"/>
        <v>111996000</v>
      </c>
      <c r="X129" s="30">
        <f t="shared" si="41"/>
        <v>111690000</v>
      </c>
      <c r="Y129" s="30">
        <f t="shared" si="42"/>
        <v>111690000</v>
      </c>
      <c r="Z129" s="30">
        <f t="shared" si="43"/>
        <v>111690000</v>
      </c>
      <c r="AA129" s="30">
        <f t="shared" si="44"/>
        <v>111996000</v>
      </c>
      <c r="AB129" s="30">
        <f t="shared" si="45"/>
        <v>93024000</v>
      </c>
      <c r="AC129" s="30">
        <f t="shared" si="46"/>
        <v>0</v>
      </c>
      <c r="AD129" s="30">
        <f t="shared" si="47"/>
        <v>0</v>
      </c>
      <c r="AE129" s="30">
        <f t="shared" si="48"/>
        <v>0</v>
      </c>
      <c r="AF129" s="30">
        <f t="shared" si="49"/>
        <v>0</v>
      </c>
      <c r="AG129" s="30">
        <f t="shared" si="50"/>
        <v>0</v>
      </c>
    </row>
    <row r="130" spans="1:33" x14ac:dyDescent="0.2">
      <c r="A130" s="118" t="s">
        <v>72</v>
      </c>
      <c r="B130" s="10" t="s">
        <v>48</v>
      </c>
      <c r="C130" s="60">
        <v>26719</v>
      </c>
      <c r="D130" s="121">
        <v>25000</v>
      </c>
      <c r="E130" s="57" t="s">
        <v>115</v>
      </c>
      <c r="F130" s="122">
        <f>0.205-0.102-0.0011-0.0142</f>
        <v>8.7699999999999986E-2</v>
      </c>
      <c r="G130" s="122">
        <f>0.0153-0.0011</f>
        <v>1.4199999999999999E-2</v>
      </c>
      <c r="H130" s="72">
        <f t="shared" si="39"/>
        <v>0.10189999999999999</v>
      </c>
      <c r="I130" s="63">
        <v>36646</v>
      </c>
      <c r="J130" s="64">
        <v>38472</v>
      </c>
      <c r="K130">
        <v>245</v>
      </c>
      <c r="L130">
        <v>365</v>
      </c>
      <c r="M130">
        <v>365</v>
      </c>
      <c r="N130">
        <v>365</v>
      </c>
      <c r="O130">
        <v>366</v>
      </c>
      <c r="P130">
        <v>120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si="40"/>
        <v>6125000</v>
      </c>
      <c r="X130" s="30">
        <f t="shared" si="41"/>
        <v>9125000</v>
      </c>
      <c r="Y130" s="30">
        <f t="shared" si="42"/>
        <v>9125000</v>
      </c>
      <c r="Z130" s="30">
        <f t="shared" si="43"/>
        <v>9125000</v>
      </c>
      <c r="AA130" s="30">
        <f t="shared" si="44"/>
        <v>9150000</v>
      </c>
      <c r="AB130" s="30">
        <f t="shared" si="45"/>
        <v>3000000</v>
      </c>
      <c r="AC130" s="30">
        <f t="shared" si="46"/>
        <v>0</v>
      </c>
      <c r="AD130" s="30">
        <f t="shared" si="47"/>
        <v>0</v>
      </c>
      <c r="AE130" s="30">
        <f t="shared" si="48"/>
        <v>0</v>
      </c>
      <c r="AF130" s="30">
        <f t="shared" si="49"/>
        <v>0</v>
      </c>
      <c r="AG130" s="30">
        <f t="shared" si="50"/>
        <v>0</v>
      </c>
    </row>
    <row r="131" spans="1:33" x14ac:dyDescent="0.2">
      <c r="A131" s="101" t="s">
        <v>72</v>
      </c>
      <c r="B131" s="10" t="s">
        <v>68</v>
      </c>
      <c r="C131" s="60">
        <v>22037</v>
      </c>
      <c r="D131" s="121">
        <v>3000</v>
      </c>
      <c r="E131" s="57" t="s">
        <v>124</v>
      </c>
      <c r="F131" s="122">
        <v>0</v>
      </c>
      <c r="G131" s="125">
        <v>0</v>
      </c>
      <c r="H131" s="72">
        <f>0.1328-0.05</f>
        <v>8.2799999999999999E-2</v>
      </c>
      <c r="I131" s="63"/>
      <c r="J131" s="64"/>
      <c r="K131">
        <v>366</v>
      </c>
      <c r="L131">
        <v>365</v>
      </c>
      <c r="M131">
        <v>365</v>
      </c>
      <c r="N131">
        <v>365</v>
      </c>
      <c r="O131">
        <v>366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40"/>
        <v>1098000</v>
      </c>
      <c r="X131" s="30">
        <f t="shared" si="41"/>
        <v>1095000</v>
      </c>
      <c r="Y131" s="30">
        <f t="shared" si="42"/>
        <v>1095000</v>
      </c>
      <c r="Z131" s="30">
        <f t="shared" si="43"/>
        <v>1095000</v>
      </c>
      <c r="AA131" s="30">
        <f t="shared" si="44"/>
        <v>1098000</v>
      </c>
      <c r="AB131" s="30">
        <f t="shared" si="45"/>
        <v>0</v>
      </c>
      <c r="AC131" s="30">
        <f t="shared" si="46"/>
        <v>0</v>
      </c>
      <c r="AD131" s="30">
        <f t="shared" si="47"/>
        <v>0</v>
      </c>
      <c r="AE131" s="30">
        <f t="shared" si="48"/>
        <v>0</v>
      </c>
      <c r="AF131" s="30">
        <f t="shared" si="49"/>
        <v>0</v>
      </c>
      <c r="AG131" s="30">
        <f t="shared" si="50"/>
        <v>0</v>
      </c>
    </row>
    <row r="132" spans="1:33" x14ac:dyDescent="0.2">
      <c r="A132" s="101" t="s">
        <v>72</v>
      </c>
      <c r="B132" s="10" t="s">
        <v>68</v>
      </c>
      <c r="C132" s="60">
        <v>27252</v>
      </c>
      <c r="D132" s="121">
        <v>14000</v>
      </c>
      <c r="E132" s="57" t="s">
        <v>115</v>
      </c>
      <c r="F132" s="122">
        <f>0.15-0.0407-0.0093-0.0153</f>
        <v>8.4699999999999998E-2</v>
      </c>
      <c r="G132" s="125">
        <f>0.0246-0.0093</f>
        <v>1.5300000000000001E-2</v>
      </c>
      <c r="H132" s="72">
        <f>+G132+F132</f>
        <v>0.1</v>
      </c>
      <c r="I132" s="63">
        <v>36831</v>
      </c>
      <c r="J132" s="64">
        <v>40482</v>
      </c>
      <c r="K132">
        <v>61</v>
      </c>
      <c r="L132">
        <v>151</v>
      </c>
      <c r="M132">
        <v>151</v>
      </c>
      <c r="N132">
        <v>151</v>
      </c>
      <c r="O132">
        <v>152</v>
      </c>
      <c r="P132">
        <v>151</v>
      </c>
      <c r="Q132">
        <v>151</v>
      </c>
      <c r="R132">
        <v>151</v>
      </c>
      <c r="S132">
        <v>152</v>
      </c>
      <c r="T132">
        <v>151</v>
      </c>
      <c r="U132">
        <v>151</v>
      </c>
      <c r="W132" s="30">
        <f t="shared" si="40"/>
        <v>854000</v>
      </c>
      <c r="X132" s="30">
        <f t="shared" si="41"/>
        <v>2114000</v>
      </c>
      <c r="Y132" s="30">
        <f t="shared" si="42"/>
        <v>2114000</v>
      </c>
      <c r="Z132" s="30">
        <f t="shared" si="43"/>
        <v>2114000</v>
      </c>
      <c r="AA132" s="30">
        <f t="shared" si="44"/>
        <v>2128000</v>
      </c>
      <c r="AB132" s="30">
        <f t="shared" si="45"/>
        <v>2114000</v>
      </c>
      <c r="AC132" s="30">
        <f t="shared" si="46"/>
        <v>2114000</v>
      </c>
      <c r="AD132" s="30">
        <f t="shared" si="47"/>
        <v>2114000</v>
      </c>
      <c r="AE132" s="30">
        <f t="shared" si="48"/>
        <v>2128000</v>
      </c>
      <c r="AF132" s="30">
        <f t="shared" si="49"/>
        <v>2114000</v>
      </c>
      <c r="AG132" s="30">
        <f t="shared" si="50"/>
        <v>2114000</v>
      </c>
    </row>
    <row r="133" spans="1:33" x14ac:dyDescent="0.2">
      <c r="A133" s="118" t="s">
        <v>72</v>
      </c>
      <c r="B133" s="10" t="s">
        <v>55</v>
      </c>
      <c r="C133" s="60">
        <v>26960</v>
      </c>
      <c r="D133" s="121">
        <v>20000</v>
      </c>
      <c r="E133" s="57" t="s">
        <v>115</v>
      </c>
      <c r="F133" s="122">
        <f>0.19-0.102-0.0011-0.0153</f>
        <v>7.1600000000000011E-2</v>
      </c>
      <c r="G133" s="122">
        <v>1.5299999999999999E-2</v>
      </c>
      <c r="H133" s="72">
        <f>+G133+F133</f>
        <v>8.6900000000000005E-2</v>
      </c>
      <c r="I133" s="63">
        <v>36525</v>
      </c>
      <c r="J133" s="64">
        <v>38077</v>
      </c>
      <c r="K133">
        <v>366</v>
      </c>
      <c r="L133">
        <v>365</v>
      </c>
      <c r="M133">
        <v>365</v>
      </c>
      <c r="N133">
        <v>365</v>
      </c>
      <c r="O133">
        <v>91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40"/>
        <v>7320000</v>
      </c>
      <c r="X133" s="30">
        <f t="shared" si="41"/>
        <v>7300000</v>
      </c>
      <c r="Y133" s="30">
        <f t="shared" si="42"/>
        <v>7300000</v>
      </c>
      <c r="Z133" s="30">
        <f t="shared" si="43"/>
        <v>7300000</v>
      </c>
      <c r="AA133" s="30">
        <f t="shared" si="44"/>
        <v>1820000</v>
      </c>
      <c r="AB133" s="30">
        <f t="shared" si="45"/>
        <v>0</v>
      </c>
      <c r="AC133" s="30">
        <f t="shared" si="46"/>
        <v>0</v>
      </c>
      <c r="AD133" s="30">
        <f t="shared" si="47"/>
        <v>0</v>
      </c>
      <c r="AE133" s="30">
        <f t="shared" si="48"/>
        <v>0</v>
      </c>
      <c r="AF133" s="30">
        <f t="shared" si="49"/>
        <v>0</v>
      </c>
      <c r="AG133" s="30">
        <f t="shared" si="50"/>
        <v>0</v>
      </c>
    </row>
    <row r="134" spans="1:33" x14ac:dyDescent="0.2">
      <c r="A134" s="101" t="s">
        <v>72</v>
      </c>
      <c r="B134" s="10" t="s">
        <v>28</v>
      </c>
      <c r="C134" s="60">
        <v>25850</v>
      </c>
      <c r="D134" s="121">
        <v>30000</v>
      </c>
      <c r="E134" s="57" t="s">
        <v>115</v>
      </c>
      <c r="F134" s="125">
        <f>0.1354-0.0407-0.0093-0.0153</f>
        <v>7.0099999999999996E-2</v>
      </c>
      <c r="G134" s="122">
        <v>1.5299999999999999E-2</v>
      </c>
      <c r="H134" s="72">
        <f>+G134+F134</f>
        <v>8.539999999999999E-2</v>
      </c>
      <c r="I134" s="63"/>
      <c r="J134" s="64">
        <v>36556</v>
      </c>
      <c r="K134">
        <v>31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W134" s="30">
        <f t="shared" si="40"/>
        <v>930000</v>
      </c>
      <c r="X134" s="30">
        <f t="shared" si="41"/>
        <v>0</v>
      </c>
      <c r="Y134" s="30">
        <f t="shared" si="42"/>
        <v>0</v>
      </c>
      <c r="Z134" s="30">
        <f t="shared" si="43"/>
        <v>0</v>
      </c>
      <c r="AA134" s="30">
        <f t="shared" si="44"/>
        <v>0</v>
      </c>
      <c r="AB134" s="30">
        <f t="shared" si="45"/>
        <v>0</v>
      </c>
      <c r="AC134" s="30">
        <f t="shared" si="46"/>
        <v>0</v>
      </c>
      <c r="AD134" s="30">
        <f t="shared" si="47"/>
        <v>0</v>
      </c>
      <c r="AE134" s="30">
        <f t="shared" si="48"/>
        <v>0</v>
      </c>
      <c r="AF134" s="30">
        <f t="shared" si="49"/>
        <v>0</v>
      </c>
      <c r="AG134" s="30">
        <f t="shared" si="50"/>
        <v>0</v>
      </c>
    </row>
    <row r="135" spans="1:33" x14ac:dyDescent="0.2">
      <c r="A135" s="101" t="s">
        <v>72</v>
      </c>
      <c r="B135" s="10" t="s">
        <v>30</v>
      </c>
      <c r="C135" s="60">
        <v>26393</v>
      </c>
      <c r="D135" s="121">
        <v>30000</v>
      </c>
      <c r="E135" s="57" t="s">
        <v>115</v>
      </c>
      <c r="F135" s="122">
        <f>0.113-0.0407-0.0093-0.0153</f>
        <v>4.7699999999999999E-2</v>
      </c>
      <c r="G135" s="122">
        <v>1.5299999999999999E-2</v>
      </c>
      <c r="H135" s="72">
        <f>+G135+F135</f>
        <v>6.3E-2</v>
      </c>
      <c r="I135" s="63"/>
      <c r="J135" s="64">
        <v>36616</v>
      </c>
      <c r="K135">
        <v>91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40"/>
        <v>2730000</v>
      </c>
      <c r="X135" s="30">
        <f t="shared" si="41"/>
        <v>0</v>
      </c>
      <c r="Y135" s="30">
        <f t="shared" si="42"/>
        <v>0</v>
      </c>
      <c r="Z135" s="30">
        <f t="shared" si="43"/>
        <v>0</v>
      </c>
      <c r="AA135" s="30">
        <f t="shared" si="44"/>
        <v>0</v>
      </c>
      <c r="AB135" s="30">
        <f t="shared" si="45"/>
        <v>0</v>
      </c>
      <c r="AC135" s="30">
        <f t="shared" si="46"/>
        <v>0</v>
      </c>
      <c r="AD135" s="30">
        <f t="shared" si="47"/>
        <v>0</v>
      </c>
      <c r="AE135" s="30">
        <f t="shared" si="48"/>
        <v>0</v>
      </c>
      <c r="AF135" s="30">
        <f t="shared" si="49"/>
        <v>0</v>
      </c>
      <c r="AG135" s="30">
        <f t="shared" si="50"/>
        <v>0</v>
      </c>
    </row>
    <row r="136" spans="1:33" x14ac:dyDescent="0.2">
      <c r="C136" s="60"/>
    </row>
    <row r="137" spans="1:33" x14ac:dyDescent="0.2">
      <c r="C137" s="60"/>
    </row>
    <row r="138" spans="1:33" x14ac:dyDescent="0.2">
      <c r="C138" s="60"/>
    </row>
    <row r="139" spans="1:33" x14ac:dyDescent="0.2">
      <c r="C139" s="60"/>
    </row>
    <row r="140" spans="1:33" x14ac:dyDescent="0.2">
      <c r="C140" s="60"/>
    </row>
    <row r="141" spans="1:33" x14ac:dyDescent="0.2">
      <c r="C141" s="60"/>
    </row>
    <row r="142" spans="1:33" x14ac:dyDescent="0.2">
      <c r="C142" s="60"/>
    </row>
    <row r="143" spans="1:33" x14ac:dyDescent="0.2">
      <c r="C143" s="60"/>
    </row>
    <row r="144" spans="1:33" x14ac:dyDescent="0.2">
      <c r="C144" s="60"/>
    </row>
    <row r="145" spans="3:3" x14ac:dyDescent="0.2">
      <c r="C145" s="60"/>
    </row>
    <row r="146" spans="3:3" x14ac:dyDescent="0.2">
      <c r="C146" s="60"/>
    </row>
    <row r="147" spans="3:3" x14ac:dyDescent="0.2">
      <c r="C147" s="60"/>
    </row>
    <row r="148" spans="3:3" x14ac:dyDescent="0.2">
      <c r="C148" s="60"/>
    </row>
    <row r="149" spans="3:3" x14ac:dyDescent="0.2">
      <c r="C149" s="60"/>
    </row>
    <row r="150" spans="3:3" x14ac:dyDescent="0.2">
      <c r="C150" s="60"/>
    </row>
    <row r="151" spans="3:3" x14ac:dyDescent="0.2">
      <c r="C151" s="60"/>
    </row>
    <row r="152" spans="3:3" x14ac:dyDescent="0.2">
      <c r="C152" s="60"/>
    </row>
    <row r="153" spans="3:3" x14ac:dyDescent="0.2">
      <c r="C153" s="60"/>
    </row>
    <row r="154" spans="3:3" x14ac:dyDescent="0.2">
      <c r="C154" s="60"/>
    </row>
    <row r="155" spans="3:3" x14ac:dyDescent="0.2">
      <c r="C155" s="60"/>
    </row>
    <row r="156" spans="3:3" x14ac:dyDescent="0.2">
      <c r="C156" s="60"/>
    </row>
    <row r="157" spans="3:3" x14ac:dyDescent="0.2">
      <c r="C157" s="60"/>
    </row>
    <row r="158" spans="3:3" x14ac:dyDescent="0.2">
      <c r="C158" s="60"/>
    </row>
    <row r="159" spans="3:3" x14ac:dyDescent="0.2">
      <c r="C159" s="60"/>
    </row>
    <row r="160" spans="3:3" x14ac:dyDescent="0.2">
      <c r="C160" s="60"/>
    </row>
    <row r="161" spans="3:3" x14ac:dyDescent="0.2">
      <c r="C161" s="60"/>
    </row>
    <row r="162" spans="3:3" x14ac:dyDescent="0.2">
      <c r="C162" s="60"/>
    </row>
    <row r="163" spans="3:3" x14ac:dyDescent="0.2">
      <c r="C163" s="60"/>
    </row>
    <row r="164" spans="3:3" x14ac:dyDescent="0.2">
      <c r="C164" s="60"/>
    </row>
    <row r="165" spans="3:3" x14ac:dyDescent="0.2">
      <c r="C165" s="60"/>
    </row>
    <row r="166" spans="3:3" x14ac:dyDescent="0.2">
      <c r="C166" s="60"/>
    </row>
    <row r="167" spans="3:3" x14ac:dyDescent="0.2">
      <c r="C167" s="60"/>
    </row>
    <row r="168" spans="3:3" x14ac:dyDescent="0.2">
      <c r="C168" s="60"/>
    </row>
    <row r="169" spans="3:3" x14ac:dyDescent="0.2">
      <c r="C169" s="60"/>
    </row>
    <row r="170" spans="3:3" x14ac:dyDescent="0.2">
      <c r="C170" s="60"/>
    </row>
    <row r="171" spans="3:3" x14ac:dyDescent="0.2">
      <c r="C171" s="60"/>
    </row>
    <row r="172" spans="3:3" x14ac:dyDescent="0.2">
      <c r="C172" s="60"/>
    </row>
    <row r="173" spans="3:3" x14ac:dyDescent="0.2">
      <c r="C173" s="60"/>
    </row>
    <row r="174" spans="3:3" x14ac:dyDescent="0.2">
      <c r="C174" s="60"/>
    </row>
    <row r="175" spans="3:3" x14ac:dyDescent="0.2">
      <c r="C175" s="60"/>
    </row>
    <row r="176" spans="3:3" x14ac:dyDescent="0.2">
      <c r="C176" s="60"/>
    </row>
    <row r="177" spans="3:3" x14ac:dyDescent="0.2">
      <c r="C177" s="60"/>
    </row>
    <row r="178" spans="3:3" x14ac:dyDescent="0.2">
      <c r="C178" s="60"/>
    </row>
    <row r="179" spans="3:3" x14ac:dyDescent="0.2">
      <c r="C179" s="60"/>
    </row>
    <row r="180" spans="3:3" x14ac:dyDescent="0.2">
      <c r="C180" s="60"/>
    </row>
    <row r="181" spans="3:3" x14ac:dyDescent="0.2">
      <c r="C181" s="60"/>
    </row>
    <row r="182" spans="3:3" x14ac:dyDescent="0.2">
      <c r="C182" s="60"/>
    </row>
    <row r="183" spans="3:3" x14ac:dyDescent="0.2">
      <c r="C183" s="60"/>
    </row>
    <row r="184" spans="3:3" x14ac:dyDescent="0.2">
      <c r="C184" s="60"/>
    </row>
    <row r="185" spans="3:3" x14ac:dyDescent="0.2">
      <c r="C185" s="60"/>
    </row>
    <row r="186" spans="3:3" x14ac:dyDescent="0.2">
      <c r="C186" s="60"/>
    </row>
    <row r="187" spans="3:3" x14ac:dyDescent="0.2">
      <c r="C187" s="60"/>
    </row>
    <row r="188" spans="3:3" x14ac:dyDescent="0.2">
      <c r="C188" s="60"/>
    </row>
    <row r="189" spans="3:3" x14ac:dyDescent="0.2">
      <c r="C189" s="60"/>
    </row>
    <row r="190" spans="3:3" x14ac:dyDescent="0.2">
      <c r="C190" s="60"/>
    </row>
    <row r="191" spans="3:3" x14ac:dyDescent="0.2">
      <c r="C191" s="60"/>
    </row>
    <row r="192" spans="3:3" x14ac:dyDescent="0.2">
      <c r="C192" s="60"/>
    </row>
    <row r="193" spans="3:3" x14ac:dyDescent="0.2">
      <c r="C193" s="60"/>
    </row>
    <row r="194" spans="3:3" x14ac:dyDescent="0.2">
      <c r="C194" s="60"/>
    </row>
    <row r="195" spans="3:3" x14ac:dyDescent="0.2">
      <c r="C195" s="60"/>
    </row>
    <row r="196" spans="3:3" x14ac:dyDescent="0.2">
      <c r="C196" s="60"/>
    </row>
    <row r="197" spans="3:3" x14ac:dyDescent="0.2">
      <c r="C197" s="60"/>
    </row>
    <row r="198" spans="3:3" x14ac:dyDescent="0.2">
      <c r="C198" s="60"/>
    </row>
    <row r="199" spans="3:3" x14ac:dyDescent="0.2">
      <c r="C199" s="60"/>
    </row>
    <row r="200" spans="3:3" x14ac:dyDescent="0.2">
      <c r="C200" s="60"/>
    </row>
    <row r="201" spans="3:3" x14ac:dyDescent="0.2">
      <c r="C201" s="60"/>
    </row>
    <row r="202" spans="3:3" x14ac:dyDescent="0.2">
      <c r="C202" s="60"/>
    </row>
    <row r="203" spans="3:3" x14ac:dyDescent="0.2">
      <c r="C203" s="60"/>
    </row>
    <row r="204" spans="3:3" x14ac:dyDescent="0.2">
      <c r="C204" s="60"/>
    </row>
    <row r="205" spans="3:3" x14ac:dyDescent="0.2">
      <c r="C205" s="60"/>
    </row>
    <row r="206" spans="3:3" x14ac:dyDescent="0.2">
      <c r="C206" s="60"/>
    </row>
    <row r="207" spans="3:3" x14ac:dyDescent="0.2">
      <c r="C207" s="60"/>
    </row>
    <row r="208" spans="3:3" x14ac:dyDescent="0.2">
      <c r="C208" s="60"/>
    </row>
    <row r="209" spans="3:3" x14ac:dyDescent="0.2">
      <c r="C209" s="60"/>
    </row>
    <row r="210" spans="3:3" x14ac:dyDescent="0.2">
      <c r="C210" s="60"/>
    </row>
    <row r="211" spans="3:3" x14ac:dyDescent="0.2">
      <c r="C211" s="60"/>
    </row>
    <row r="212" spans="3:3" x14ac:dyDescent="0.2">
      <c r="C212" s="60"/>
    </row>
    <row r="213" spans="3:3" x14ac:dyDescent="0.2">
      <c r="C213" s="60"/>
    </row>
    <row r="214" spans="3:3" x14ac:dyDescent="0.2">
      <c r="C214" s="60"/>
    </row>
    <row r="215" spans="3:3" x14ac:dyDescent="0.2">
      <c r="C215" s="60"/>
    </row>
    <row r="216" spans="3:3" x14ac:dyDescent="0.2">
      <c r="C216" s="60"/>
    </row>
    <row r="217" spans="3:3" x14ac:dyDescent="0.2">
      <c r="C217" s="60"/>
    </row>
    <row r="218" spans="3:3" x14ac:dyDescent="0.2">
      <c r="C218" s="60"/>
    </row>
    <row r="219" spans="3:3" x14ac:dyDescent="0.2">
      <c r="C219" s="60"/>
    </row>
    <row r="220" spans="3:3" x14ac:dyDescent="0.2">
      <c r="C220" s="60"/>
    </row>
    <row r="221" spans="3:3" x14ac:dyDescent="0.2">
      <c r="C221" s="60"/>
    </row>
    <row r="222" spans="3:3" x14ac:dyDescent="0.2">
      <c r="C222" s="60"/>
    </row>
    <row r="223" spans="3:3" x14ac:dyDescent="0.2">
      <c r="C223" s="60"/>
    </row>
    <row r="224" spans="3:3" x14ac:dyDescent="0.2">
      <c r="C224" s="60"/>
    </row>
    <row r="225" spans="3:3" x14ac:dyDescent="0.2">
      <c r="C225" s="60"/>
    </row>
    <row r="226" spans="3:3" x14ac:dyDescent="0.2">
      <c r="C226" s="60"/>
    </row>
    <row r="227" spans="3:3" x14ac:dyDescent="0.2">
      <c r="C227" s="60"/>
    </row>
    <row r="228" spans="3:3" x14ac:dyDescent="0.2">
      <c r="C228" s="60"/>
    </row>
    <row r="229" spans="3:3" x14ac:dyDescent="0.2">
      <c r="C229" s="60"/>
    </row>
    <row r="230" spans="3:3" x14ac:dyDescent="0.2">
      <c r="C230" s="60"/>
    </row>
    <row r="231" spans="3:3" x14ac:dyDescent="0.2">
      <c r="C231" s="60"/>
    </row>
    <row r="232" spans="3:3" x14ac:dyDescent="0.2">
      <c r="C232" s="60"/>
    </row>
    <row r="233" spans="3:3" x14ac:dyDescent="0.2">
      <c r="C233" s="60"/>
    </row>
    <row r="234" spans="3:3" x14ac:dyDescent="0.2">
      <c r="C234" s="60"/>
    </row>
    <row r="235" spans="3:3" x14ac:dyDescent="0.2">
      <c r="C235" s="60"/>
    </row>
    <row r="236" spans="3:3" x14ac:dyDescent="0.2">
      <c r="C236" s="60"/>
    </row>
    <row r="237" spans="3:3" x14ac:dyDescent="0.2">
      <c r="C237" s="60"/>
    </row>
    <row r="238" spans="3:3" x14ac:dyDescent="0.2">
      <c r="C238" s="60"/>
    </row>
    <row r="239" spans="3:3" x14ac:dyDescent="0.2">
      <c r="C239" s="60"/>
    </row>
    <row r="240" spans="3:3" x14ac:dyDescent="0.2">
      <c r="C240" s="60"/>
    </row>
    <row r="241" spans="3:3" x14ac:dyDescent="0.2">
      <c r="C241" s="60"/>
    </row>
    <row r="242" spans="3:3" x14ac:dyDescent="0.2">
      <c r="C242" s="60"/>
    </row>
    <row r="243" spans="3:3" x14ac:dyDescent="0.2">
      <c r="C243" s="60"/>
    </row>
    <row r="244" spans="3:3" x14ac:dyDescent="0.2">
      <c r="C244" s="60"/>
    </row>
    <row r="245" spans="3:3" x14ac:dyDescent="0.2">
      <c r="C245" s="60"/>
    </row>
    <row r="246" spans="3:3" x14ac:dyDescent="0.2">
      <c r="C246" s="60"/>
    </row>
    <row r="247" spans="3:3" x14ac:dyDescent="0.2">
      <c r="C247" s="60"/>
    </row>
    <row r="248" spans="3:3" x14ac:dyDescent="0.2">
      <c r="C248" s="60"/>
    </row>
    <row r="249" spans="3:3" x14ac:dyDescent="0.2">
      <c r="C249" s="60"/>
    </row>
    <row r="250" spans="3:3" x14ac:dyDescent="0.2">
      <c r="C250" s="60"/>
    </row>
    <row r="251" spans="3:3" x14ac:dyDescent="0.2">
      <c r="C251" s="60"/>
    </row>
    <row r="252" spans="3:3" x14ac:dyDescent="0.2">
      <c r="C252" s="60"/>
    </row>
    <row r="253" spans="3:3" x14ac:dyDescent="0.2">
      <c r="C253" s="60"/>
    </row>
    <row r="254" spans="3:3" x14ac:dyDescent="0.2">
      <c r="C254" s="60"/>
    </row>
    <row r="255" spans="3:3" x14ac:dyDescent="0.2">
      <c r="C255" s="60"/>
    </row>
    <row r="256" spans="3:3" x14ac:dyDescent="0.2">
      <c r="C256" s="60"/>
    </row>
    <row r="257" spans="3:3" x14ac:dyDescent="0.2">
      <c r="C257" s="60"/>
    </row>
    <row r="258" spans="3:3" x14ac:dyDescent="0.2">
      <c r="C258" s="60"/>
    </row>
    <row r="259" spans="3:3" x14ac:dyDescent="0.2">
      <c r="C259" s="60"/>
    </row>
    <row r="260" spans="3:3" x14ac:dyDescent="0.2">
      <c r="C260" s="60"/>
    </row>
    <row r="261" spans="3:3" x14ac:dyDescent="0.2">
      <c r="C261" s="60"/>
    </row>
    <row r="262" spans="3:3" x14ac:dyDescent="0.2">
      <c r="C262" s="60"/>
    </row>
    <row r="263" spans="3:3" x14ac:dyDescent="0.2">
      <c r="C263" s="60"/>
    </row>
    <row r="264" spans="3:3" x14ac:dyDescent="0.2">
      <c r="C264" s="60"/>
    </row>
    <row r="265" spans="3:3" x14ac:dyDescent="0.2">
      <c r="C265" s="60"/>
    </row>
    <row r="266" spans="3:3" x14ac:dyDescent="0.2">
      <c r="C266" s="60"/>
    </row>
    <row r="267" spans="3:3" x14ac:dyDescent="0.2">
      <c r="C267" s="60"/>
    </row>
    <row r="268" spans="3:3" x14ac:dyDescent="0.2">
      <c r="C268" s="60"/>
    </row>
    <row r="269" spans="3:3" x14ac:dyDescent="0.2">
      <c r="C269" s="60"/>
    </row>
    <row r="270" spans="3:3" x14ac:dyDescent="0.2">
      <c r="C270" s="60"/>
    </row>
    <row r="271" spans="3:3" x14ac:dyDescent="0.2">
      <c r="C271" s="60"/>
    </row>
    <row r="272" spans="3:3" x14ac:dyDescent="0.2">
      <c r="C272" s="60"/>
    </row>
    <row r="273" spans="3:3" x14ac:dyDescent="0.2">
      <c r="C273" s="60"/>
    </row>
    <row r="274" spans="3:3" x14ac:dyDescent="0.2">
      <c r="C274" s="60"/>
    </row>
    <row r="275" spans="3:3" x14ac:dyDescent="0.2">
      <c r="C275" s="60"/>
    </row>
    <row r="276" spans="3:3" x14ac:dyDescent="0.2">
      <c r="C276" s="60"/>
    </row>
    <row r="277" spans="3:3" x14ac:dyDescent="0.2">
      <c r="C277" s="60"/>
    </row>
    <row r="278" spans="3:3" x14ac:dyDescent="0.2">
      <c r="C278" s="60"/>
    </row>
    <row r="279" spans="3:3" x14ac:dyDescent="0.2">
      <c r="C279" s="60"/>
    </row>
    <row r="280" spans="3:3" x14ac:dyDescent="0.2">
      <c r="C280" s="60"/>
    </row>
    <row r="281" spans="3:3" x14ac:dyDescent="0.2">
      <c r="C281" s="60"/>
    </row>
    <row r="282" spans="3:3" x14ac:dyDescent="0.2">
      <c r="C282" s="60"/>
    </row>
    <row r="283" spans="3:3" x14ac:dyDescent="0.2">
      <c r="C283" s="60"/>
    </row>
    <row r="284" spans="3:3" x14ac:dyDescent="0.2">
      <c r="C284" s="60"/>
    </row>
    <row r="285" spans="3:3" x14ac:dyDescent="0.2">
      <c r="C285" s="60"/>
    </row>
    <row r="286" spans="3:3" x14ac:dyDescent="0.2">
      <c r="C286" s="60"/>
    </row>
    <row r="287" spans="3:3" x14ac:dyDescent="0.2">
      <c r="C287" s="60"/>
    </row>
    <row r="288" spans="3:3" x14ac:dyDescent="0.2">
      <c r="C288" s="60"/>
    </row>
    <row r="289" spans="3:3" x14ac:dyDescent="0.2">
      <c r="C289" s="60"/>
    </row>
    <row r="290" spans="3:3" x14ac:dyDescent="0.2">
      <c r="C290" s="60"/>
    </row>
    <row r="291" spans="3:3" x14ac:dyDescent="0.2">
      <c r="C291" s="60"/>
    </row>
    <row r="292" spans="3:3" x14ac:dyDescent="0.2">
      <c r="C292" s="60"/>
    </row>
    <row r="293" spans="3:3" x14ac:dyDescent="0.2">
      <c r="C293" s="60"/>
    </row>
    <row r="294" spans="3:3" x14ac:dyDescent="0.2">
      <c r="C294" s="60"/>
    </row>
    <row r="295" spans="3:3" x14ac:dyDescent="0.2">
      <c r="C295" s="60"/>
    </row>
    <row r="296" spans="3:3" x14ac:dyDescent="0.2">
      <c r="C296" s="60"/>
    </row>
    <row r="297" spans="3:3" x14ac:dyDescent="0.2">
      <c r="C297" s="60"/>
    </row>
    <row r="298" spans="3:3" x14ac:dyDescent="0.2">
      <c r="C298" s="60"/>
    </row>
    <row r="299" spans="3:3" x14ac:dyDescent="0.2">
      <c r="C299" s="60"/>
    </row>
    <row r="300" spans="3:3" x14ac:dyDescent="0.2">
      <c r="C300" s="60"/>
    </row>
    <row r="301" spans="3:3" x14ac:dyDescent="0.2">
      <c r="C301" s="60"/>
    </row>
    <row r="302" spans="3:3" x14ac:dyDescent="0.2">
      <c r="C302" s="60"/>
    </row>
    <row r="303" spans="3:3" x14ac:dyDescent="0.2">
      <c r="C303" s="60"/>
    </row>
    <row r="304" spans="3:3" x14ac:dyDescent="0.2">
      <c r="C304" s="60"/>
    </row>
    <row r="305" spans="3:3" x14ac:dyDescent="0.2">
      <c r="C305" s="60"/>
    </row>
    <row r="306" spans="3:3" x14ac:dyDescent="0.2">
      <c r="C306" s="60"/>
    </row>
    <row r="307" spans="3:3" x14ac:dyDescent="0.2">
      <c r="C307" s="60"/>
    </row>
    <row r="308" spans="3:3" x14ac:dyDescent="0.2">
      <c r="C308" s="60"/>
    </row>
    <row r="309" spans="3:3" x14ac:dyDescent="0.2">
      <c r="C309" s="60"/>
    </row>
    <row r="310" spans="3:3" x14ac:dyDescent="0.2">
      <c r="C310" s="60"/>
    </row>
    <row r="311" spans="3:3" x14ac:dyDescent="0.2">
      <c r="C311" s="60"/>
    </row>
    <row r="312" spans="3:3" x14ac:dyDescent="0.2">
      <c r="C312" s="60"/>
    </row>
    <row r="313" spans="3:3" x14ac:dyDescent="0.2">
      <c r="C313" s="60"/>
    </row>
    <row r="314" spans="3:3" x14ac:dyDescent="0.2">
      <c r="C314" s="60"/>
    </row>
    <row r="315" spans="3:3" x14ac:dyDescent="0.2">
      <c r="C315" s="60"/>
    </row>
    <row r="316" spans="3:3" x14ac:dyDescent="0.2">
      <c r="C316" s="60"/>
    </row>
    <row r="317" spans="3:3" x14ac:dyDescent="0.2">
      <c r="C317" s="60"/>
    </row>
    <row r="318" spans="3:3" x14ac:dyDescent="0.2">
      <c r="C318" s="60"/>
    </row>
    <row r="319" spans="3:3" x14ac:dyDescent="0.2">
      <c r="C319" s="60"/>
    </row>
    <row r="320" spans="3:3" x14ac:dyDescent="0.2">
      <c r="C320" s="60"/>
    </row>
    <row r="321" spans="3:3" x14ac:dyDescent="0.2">
      <c r="C321" s="60"/>
    </row>
    <row r="322" spans="3:3" x14ac:dyDescent="0.2">
      <c r="C322" s="60"/>
    </row>
    <row r="323" spans="3:3" x14ac:dyDescent="0.2">
      <c r="C323" s="60"/>
    </row>
    <row r="324" spans="3:3" x14ac:dyDescent="0.2">
      <c r="C324" s="60"/>
    </row>
    <row r="325" spans="3:3" x14ac:dyDescent="0.2">
      <c r="C325" s="60"/>
    </row>
    <row r="326" spans="3:3" x14ac:dyDescent="0.2">
      <c r="C326" s="60"/>
    </row>
    <row r="327" spans="3:3" x14ac:dyDescent="0.2">
      <c r="C327" s="60"/>
    </row>
    <row r="328" spans="3:3" x14ac:dyDescent="0.2">
      <c r="C328" s="60"/>
    </row>
    <row r="329" spans="3:3" x14ac:dyDescent="0.2">
      <c r="C329" s="60"/>
    </row>
    <row r="330" spans="3:3" x14ac:dyDescent="0.2">
      <c r="C330" s="60"/>
    </row>
    <row r="331" spans="3:3" x14ac:dyDescent="0.2">
      <c r="C331" s="60"/>
    </row>
    <row r="332" spans="3:3" x14ac:dyDescent="0.2">
      <c r="C332" s="60"/>
    </row>
    <row r="333" spans="3:3" x14ac:dyDescent="0.2">
      <c r="C333" s="60"/>
    </row>
    <row r="334" spans="3:3" x14ac:dyDescent="0.2">
      <c r="C334" s="60"/>
    </row>
    <row r="335" spans="3:3" x14ac:dyDescent="0.2">
      <c r="C335" s="60"/>
    </row>
    <row r="336" spans="3:3" x14ac:dyDescent="0.2">
      <c r="C336" s="60"/>
    </row>
    <row r="337" spans="3:3" x14ac:dyDescent="0.2">
      <c r="C337" s="60"/>
    </row>
    <row r="338" spans="3:3" x14ac:dyDescent="0.2">
      <c r="C338" s="60"/>
    </row>
    <row r="339" spans="3:3" x14ac:dyDescent="0.2">
      <c r="C339" s="60"/>
    </row>
    <row r="340" spans="3:3" x14ac:dyDescent="0.2">
      <c r="C340" s="60"/>
    </row>
    <row r="341" spans="3:3" x14ac:dyDescent="0.2">
      <c r="C341" s="60"/>
    </row>
    <row r="342" spans="3:3" x14ac:dyDescent="0.2">
      <c r="C342" s="60"/>
    </row>
    <row r="343" spans="3:3" x14ac:dyDescent="0.2">
      <c r="C343" s="60"/>
    </row>
    <row r="344" spans="3:3" x14ac:dyDescent="0.2">
      <c r="C344" s="60"/>
    </row>
    <row r="345" spans="3:3" x14ac:dyDescent="0.2">
      <c r="C345" s="60"/>
    </row>
    <row r="346" spans="3:3" x14ac:dyDescent="0.2">
      <c r="C346" s="60"/>
    </row>
    <row r="347" spans="3:3" x14ac:dyDescent="0.2">
      <c r="C347" s="60"/>
    </row>
    <row r="348" spans="3:3" x14ac:dyDescent="0.2">
      <c r="C348" s="60"/>
    </row>
    <row r="349" spans="3:3" x14ac:dyDescent="0.2">
      <c r="C349" s="60"/>
    </row>
    <row r="350" spans="3:3" x14ac:dyDescent="0.2">
      <c r="C350" s="60"/>
    </row>
    <row r="351" spans="3:3" x14ac:dyDescent="0.2">
      <c r="C351" s="60"/>
    </row>
  </sheetData>
  <phoneticPr fontId="0" type="noConversion"/>
  <pageMargins left="0.37" right="0.26" top="0.49" bottom="0.48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CSF Rates</vt:lpstr>
      <vt:lpstr>YR_REV</vt:lpstr>
      <vt:lpstr>K-Rates</vt:lpstr>
      <vt:lpstr>K-Rates (2)</vt:lpstr>
      <vt:lpstr>'K-Rates'!Print_Area</vt:lpstr>
      <vt:lpstr>'K-Rates (2)'!Print_Area</vt:lpstr>
      <vt:lpstr>YR_REV!Print_Area</vt:lpstr>
      <vt:lpstr>'K-Rates'!Print_Titles</vt:lpstr>
      <vt:lpstr>'K-Rates (2)'!Print_Titles</vt:lpstr>
      <vt:lpstr>YR_REV!Print_Titles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2001-08-22T14:29:53Z</cp:lastPrinted>
  <dcterms:created xsi:type="dcterms:W3CDTF">2001-07-24T18:50:42Z</dcterms:created>
  <dcterms:modified xsi:type="dcterms:W3CDTF">2014-09-05T11:12:58Z</dcterms:modified>
</cp:coreProperties>
</file>