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450" windowWidth="17895" windowHeight="11505" activeTab="1"/>
  </bookViews>
  <sheets>
    <sheet name="Kennedy Summary" sheetId="1" r:id="rId1"/>
    <sheet name="Box Draw Detail" sheetId="2" r:id="rId2"/>
    <sheet name="S Kitty Detail" sheetId="3" r:id="rId3"/>
  </sheets>
  <externalReferences>
    <externalReference r:id="rId4"/>
    <externalReference r:id="rId5"/>
  </externalReferences>
  <definedNames>
    <definedName name="_xlnm.Print_Area" localSheetId="1">'Box Draw Detail'!$A$1:$W$60</definedName>
    <definedName name="_xlnm.Print_Area" localSheetId="0">'Kennedy Summary'!$A$1:$I$44</definedName>
    <definedName name="_xlnm.Print_Area" localSheetId="2">'S Kitty Detail'!$A$1:$W$61</definedName>
  </definedNames>
  <calcPr calcId="152511"/>
</workbook>
</file>

<file path=xl/calcChain.xml><?xml version="1.0" encoding="utf-8"?>
<calcChain xmlns="http://schemas.openxmlformats.org/spreadsheetml/2006/main">
  <c r="S1" i="2" l="1"/>
  <c r="A2" i="2"/>
  <c r="C5" i="2"/>
  <c r="C6" i="2"/>
  <c r="C7" i="2"/>
  <c r="C8" i="2"/>
  <c r="B11" i="2"/>
  <c r="C11" i="2"/>
  <c r="D11" i="2"/>
  <c r="B12" i="2"/>
  <c r="D12" i="2"/>
  <c r="F15" i="2"/>
  <c r="D16" i="2"/>
  <c r="D17" i="2"/>
  <c r="E17" i="2"/>
  <c r="F17" i="2"/>
  <c r="D18" i="2"/>
  <c r="D19" i="2"/>
  <c r="D20" i="2"/>
  <c r="F20" i="2"/>
  <c r="F24" i="2"/>
  <c r="A26" i="2"/>
  <c r="B26" i="2"/>
  <c r="F26" i="2"/>
  <c r="H26" i="2"/>
  <c r="L26" i="2"/>
  <c r="M26" i="2"/>
  <c r="N26" i="2"/>
  <c r="O26" i="2"/>
  <c r="A27" i="2"/>
  <c r="B27" i="2"/>
  <c r="J27" i="2"/>
  <c r="L27" i="2"/>
  <c r="M27" i="2"/>
  <c r="O27" i="2" s="1"/>
  <c r="H27" i="2" s="1"/>
  <c r="N27" i="2"/>
  <c r="A28" i="2"/>
  <c r="B28" i="2"/>
  <c r="L28" i="2"/>
  <c r="M28" i="2"/>
  <c r="N28" i="2"/>
  <c r="N57" i="2" s="1"/>
  <c r="A29" i="2"/>
  <c r="B29" i="2"/>
  <c r="H29" i="2"/>
  <c r="L29" i="2"/>
  <c r="M29" i="2"/>
  <c r="N29" i="2"/>
  <c r="O29" i="2" s="1"/>
  <c r="F29" i="2" s="1"/>
  <c r="A30" i="2"/>
  <c r="B30" i="2"/>
  <c r="D30" i="2"/>
  <c r="J30" i="2"/>
  <c r="L30" i="2"/>
  <c r="M30" i="2"/>
  <c r="N30" i="2"/>
  <c r="O30" i="2"/>
  <c r="F30" i="2" s="1"/>
  <c r="A31" i="2"/>
  <c r="B31" i="2"/>
  <c r="F31" i="2"/>
  <c r="L31" i="2"/>
  <c r="M31" i="2"/>
  <c r="N31" i="2"/>
  <c r="O31" i="2"/>
  <c r="A32" i="2"/>
  <c r="B32" i="2"/>
  <c r="H32" i="2"/>
  <c r="J32" i="2"/>
  <c r="L32" i="2"/>
  <c r="M32" i="2"/>
  <c r="N32" i="2"/>
  <c r="O32" i="2"/>
  <c r="A33" i="2"/>
  <c r="B33" i="2"/>
  <c r="D33" i="2"/>
  <c r="L33" i="2"/>
  <c r="M33" i="2"/>
  <c r="O33" i="2" s="1"/>
  <c r="N33" i="2"/>
  <c r="A34" i="2"/>
  <c r="B34" i="2"/>
  <c r="L34" i="2"/>
  <c r="M34" i="2"/>
  <c r="N34" i="2"/>
  <c r="O34" i="2"/>
  <c r="A35" i="2"/>
  <c r="B35" i="2"/>
  <c r="J35" i="2"/>
  <c r="L35" i="2"/>
  <c r="M35" i="2"/>
  <c r="O35" i="2" s="1"/>
  <c r="N35" i="2"/>
  <c r="A36" i="2"/>
  <c r="B36" i="2"/>
  <c r="L36" i="2"/>
  <c r="L57" i="2" s="1"/>
  <c r="F26" i="1" s="1"/>
  <c r="E26" i="1" s="1"/>
  <c r="M36" i="2"/>
  <c r="O36" i="2" s="1"/>
  <c r="N36" i="2"/>
  <c r="A37" i="2"/>
  <c r="B37" i="2"/>
  <c r="F37" i="2"/>
  <c r="L37" i="2"/>
  <c r="M37" i="2"/>
  <c r="N37" i="2"/>
  <c r="O37" i="2"/>
  <c r="A38" i="2"/>
  <c r="B38" i="2"/>
  <c r="D38" i="2"/>
  <c r="J38" i="2"/>
  <c r="L38" i="2"/>
  <c r="M38" i="2"/>
  <c r="N38" i="2"/>
  <c r="O38" i="2"/>
  <c r="F38" i="2" s="1"/>
  <c r="A39" i="2"/>
  <c r="B39" i="2"/>
  <c r="L39" i="2"/>
  <c r="M39" i="2"/>
  <c r="O39" i="2" s="1"/>
  <c r="N39" i="2"/>
  <c r="A40" i="2"/>
  <c r="B40" i="2"/>
  <c r="H40" i="2"/>
  <c r="J40" i="2"/>
  <c r="L40" i="2"/>
  <c r="M40" i="2"/>
  <c r="N40" i="2"/>
  <c r="O40" i="2"/>
  <c r="A41" i="2"/>
  <c r="B41" i="2"/>
  <c r="J41" i="2"/>
  <c r="L41" i="2"/>
  <c r="M41" i="2"/>
  <c r="O41" i="2" s="1"/>
  <c r="D41" i="2" s="1"/>
  <c r="N41" i="2"/>
  <c r="A42" i="2"/>
  <c r="B42" i="2"/>
  <c r="L42" i="2"/>
  <c r="M42" i="2"/>
  <c r="O42" i="2" s="1"/>
  <c r="N42" i="2"/>
  <c r="A43" i="2"/>
  <c r="B43" i="2"/>
  <c r="H43" i="2"/>
  <c r="J43" i="2"/>
  <c r="L43" i="2"/>
  <c r="M43" i="2"/>
  <c r="O43" i="2" s="1"/>
  <c r="N43" i="2"/>
  <c r="A44" i="2"/>
  <c r="B44" i="2"/>
  <c r="L44" i="2"/>
  <c r="M44" i="2"/>
  <c r="N44" i="2"/>
  <c r="A45" i="2"/>
  <c r="B45" i="2"/>
  <c r="L45" i="2"/>
  <c r="M45" i="2"/>
  <c r="N45" i="2"/>
  <c r="O45" i="2"/>
  <c r="A46" i="2"/>
  <c r="B46" i="2"/>
  <c r="D46" i="2"/>
  <c r="J46" i="2"/>
  <c r="L46" i="2"/>
  <c r="M46" i="2"/>
  <c r="N46" i="2"/>
  <c r="O46" i="2"/>
  <c r="F46" i="2" s="1"/>
  <c r="A47" i="2"/>
  <c r="B47" i="2"/>
  <c r="L47" i="2"/>
  <c r="M47" i="2"/>
  <c r="N47" i="2"/>
  <c r="O47" i="2"/>
  <c r="A48" i="2"/>
  <c r="B48" i="2"/>
  <c r="L48" i="2"/>
  <c r="M48" i="2"/>
  <c r="N48" i="2"/>
  <c r="O48" i="2"/>
  <c r="A49" i="2"/>
  <c r="B49" i="2"/>
  <c r="J49" i="2"/>
  <c r="L49" i="2"/>
  <c r="M49" i="2"/>
  <c r="O49" i="2" s="1"/>
  <c r="N49" i="2"/>
  <c r="A50" i="2"/>
  <c r="B50" i="2"/>
  <c r="L50" i="2"/>
  <c r="M50" i="2"/>
  <c r="N50" i="2"/>
  <c r="A51" i="2"/>
  <c r="B51" i="2"/>
  <c r="H51" i="2"/>
  <c r="J51" i="2"/>
  <c r="L51" i="2"/>
  <c r="M51" i="2"/>
  <c r="O51" i="2" s="1"/>
  <c r="N51" i="2"/>
  <c r="A52" i="2"/>
  <c r="B52" i="2"/>
  <c r="L52" i="2"/>
  <c r="M52" i="2"/>
  <c r="N52" i="2"/>
  <c r="A53" i="2"/>
  <c r="B53" i="2"/>
  <c r="L53" i="2"/>
  <c r="M53" i="2"/>
  <c r="N53" i="2"/>
  <c r="O53" i="2"/>
  <c r="A54" i="2"/>
  <c r="B54" i="2"/>
  <c r="L54" i="2"/>
  <c r="M54" i="2"/>
  <c r="N54" i="2"/>
  <c r="A55" i="2"/>
  <c r="B55" i="2"/>
  <c r="L55" i="2"/>
  <c r="M55" i="2"/>
  <c r="N55" i="2"/>
  <c r="O55" i="2"/>
  <c r="B56" i="2"/>
  <c r="L56" i="2"/>
  <c r="M56" i="2"/>
  <c r="O56" i="2" s="1"/>
  <c r="N56" i="2"/>
  <c r="G3" i="1"/>
  <c r="A12" i="1"/>
  <c r="E15" i="1"/>
  <c r="E16" i="1"/>
  <c r="E18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S1" i="3"/>
  <c r="A2" i="3"/>
  <c r="C5" i="3"/>
  <c r="C6" i="3"/>
  <c r="C7" i="3"/>
  <c r="C8" i="3"/>
  <c r="B11" i="3"/>
  <c r="C11" i="3"/>
  <c r="C12" i="3" s="1"/>
  <c r="D11" i="3"/>
  <c r="B12" i="3"/>
  <c r="D12" i="3"/>
  <c r="F15" i="3"/>
  <c r="D16" i="3"/>
  <c r="D17" i="3"/>
  <c r="E17" i="3"/>
  <c r="F17" i="3"/>
  <c r="D18" i="3"/>
  <c r="D19" i="3"/>
  <c r="D20" i="3"/>
  <c r="F20" i="3"/>
  <c r="F24" i="3"/>
  <c r="A26" i="3"/>
  <c r="A27" i="3" s="1"/>
  <c r="A28" i="3" s="1"/>
  <c r="A29" i="3" s="1"/>
  <c r="B26" i="3"/>
  <c r="M26" i="3"/>
  <c r="N26" i="3"/>
  <c r="O26" i="3"/>
  <c r="B27" i="3"/>
  <c r="M27" i="3"/>
  <c r="N27" i="3"/>
  <c r="O27" i="3" s="1"/>
  <c r="B28" i="3"/>
  <c r="H28" i="3"/>
  <c r="M28" i="3"/>
  <c r="O28" i="3" s="1"/>
  <c r="N28" i="3"/>
  <c r="B29" i="3"/>
  <c r="D29" i="3"/>
  <c r="F29" i="3"/>
  <c r="M29" i="3"/>
  <c r="O29" i="3" s="1"/>
  <c r="N29" i="3"/>
  <c r="A30" i="3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B30" i="3"/>
  <c r="J30" i="3"/>
  <c r="M30" i="3"/>
  <c r="O30" i="3" s="1"/>
  <c r="N30" i="3"/>
  <c r="B31" i="3"/>
  <c r="M31" i="3"/>
  <c r="N31" i="3"/>
  <c r="B32" i="3"/>
  <c r="M32" i="3"/>
  <c r="N32" i="3"/>
  <c r="O32" i="3"/>
  <c r="B33" i="3"/>
  <c r="M33" i="3"/>
  <c r="N33" i="3"/>
  <c r="B34" i="3"/>
  <c r="M34" i="3"/>
  <c r="N34" i="3"/>
  <c r="O34" i="3"/>
  <c r="B35" i="3"/>
  <c r="D35" i="3"/>
  <c r="M35" i="3"/>
  <c r="O35" i="3" s="1"/>
  <c r="N35" i="3"/>
  <c r="B36" i="3"/>
  <c r="M36" i="3"/>
  <c r="O36" i="3" s="1"/>
  <c r="N36" i="3"/>
  <c r="B37" i="3"/>
  <c r="J37" i="3"/>
  <c r="M37" i="3"/>
  <c r="N37" i="3"/>
  <c r="O37" i="3" s="1"/>
  <c r="F37" i="3" s="1"/>
  <c r="B38" i="3"/>
  <c r="F38" i="3"/>
  <c r="M38" i="3"/>
  <c r="N38" i="3"/>
  <c r="O38" i="3"/>
  <c r="B39" i="3"/>
  <c r="M39" i="3"/>
  <c r="N39" i="3"/>
  <c r="B40" i="3"/>
  <c r="M40" i="3"/>
  <c r="O40" i="3" s="1"/>
  <c r="N40" i="3"/>
  <c r="B41" i="3"/>
  <c r="M41" i="3"/>
  <c r="O41" i="3" s="1"/>
  <c r="N41" i="3"/>
  <c r="B42" i="3"/>
  <c r="M42" i="3"/>
  <c r="N42" i="3"/>
  <c r="B43" i="3"/>
  <c r="H43" i="3"/>
  <c r="M43" i="3"/>
  <c r="O43" i="3" s="1"/>
  <c r="J43" i="3" s="1"/>
  <c r="N43" i="3"/>
  <c r="B44" i="3"/>
  <c r="H44" i="3"/>
  <c r="L44" i="3"/>
  <c r="M44" i="3"/>
  <c r="N44" i="3"/>
  <c r="O44" i="3"/>
  <c r="J44" i="3" s="1"/>
  <c r="B45" i="3"/>
  <c r="M45" i="3"/>
  <c r="N45" i="3"/>
  <c r="O45" i="3"/>
  <c r="B46" i="3"/>
  <c r="M46" i="3"/>
  <c r="N46" i="3"/>
  <c r="O46" i="3"/>
  <c r="B47" i="3"/>
  <c r="M47" i="3"/>
  <c r="N47" i="3"/>
  <c r="O47" i="3"/>
  <c r="B48" i="3"/>
  <c r="D48" i="3"/>
  <c r="M48" i="3"/>
  <c r="N48" i="3"/>
  <c r="O48" i="3"/>
  <c r="B49" i="3"/>
  <c r="M49" i="3"/>
  <c r="N49" i="3"/>
  <c r="O49" i="3"/>
  <c r="B50" i="3"/>
  <c r="M50" i="3"/>
  <c r="N50" i="3"/>
  <c r="B51" i="3"/>
  <c r="M51" i="3"/>
  <c r="N51" i="3"/>
  <c r="B52" i="3"/>
  <c r="L52" i="3"/>
  <c r="M52" i="3"/>
  <c r="N52" i="3"/>
  <c r="O52" i="3" s="1"/>
  <c r="B53" i="3"/>
  <c r="F53" i="3"/>
  <c r="L53" i="3"/>
  <c r="M53" i="3"/>
  <c r="N53" i="3"/>
  <c r="O53" i="3"/>
  <c r="B54" i="3"/>
  <c r="J54" i="3"/>
  <c r="M54" i="3"/>
  <c r="N54" i="3"/>
  <c r="O54" i="3"/>
  <c r="B55" i="3"/>
  <c r="H55" i="3"/>
  <c r="J55" i="3"/>
  <c r="L55" i="3"/>
  <c r="M55" i="3"/>
  <c r="N55" i="3"/>
  <c r="O55" i="3"/>
  <c r="F55" i="3" s="1"/>
  <c r="B56" i="3"/>
  <c r="M56" i="3"/>
  <c r="N56" i="3"/>
  <c r="O56" i="3" l="1"/>
  <c r="H45" i="3"/>
  <c r="J45" i="3"/>
  <c r="L45" i="3"/>
  <c r="D45" i="3"/>
  <c r="H54" i="3"/>
  <c r="D54" i="3"/>
  <c r="F54" i="3"/>
  <c r="H46" i="3"/>
  <c r="J46" i="3"/>
  <c r="L46" i="3"/>
  <c r="D46" i="3"/>
  <c r="J36" i="3"/>
  <c r="D36" i="3"/>
  <c r="H36" i="3"/>
  <c r="F36" i="3"/>
  <c r="L36" i="3"/>
  <c r="F47" i="3"/>
  <c r="H47" i="3"/>
  <c r="J47" i="3"/>
  <c r="L47" i="3"/>
  <c r="D47" i="3"/>
  <c r="F32" i="3"/>
  <c r="H32" i="3"/>
  <c r="L32" i="3"/>
  <c r="D32" i="3"/>
  <c r="J32" i="3"/>
  <c r="J52" i="3"/>
  <c r="D52" i="3"/>
  <c r="F52" i="3"/>
  <c r="H52" i="3"/>
  <c r="O51" i="3"/>
  <c r="F48" i="3"/>
  <c r="J48" i="3"/>
  <c r="H48" i="3"/>
  <c r="L48" i="3"/>
  <c r="D49" i="3"/>
  <c r="L49" i="3"/>
  <c r="F49" i="3"/>
  <c r="H49" i="3"/>
  <c r="J49" i="3"/>
  <c r="F40" i="3"/>
  <c r="L40" i="3"/>
  <c r="D40" i="3"/>
  <c r="H40" i="3"/>
  <c r="J40" i="3"/>
  <c r="H41" i="3"/>
  <c r="L41" i="3"/>
  <c r="D41" i="3"/>
  <c r="F41" i="3"/>
  <c r="M57" i="3"/>
  <c r="J41" i="3"/>
  <c r="D34" i="3"/>
  <c r="L34" i="3"/>
  <c r="F34" i="3"/>
  <c r="J34" i="3"/>
  <c r="H34" i="3"/>
  <c r="O28" i="2"/>
  <c r="M57" i="2"/>
  <c r="H53" i="3"/>
  <c r="D53" i="3"/>
  <c r="J53" i="3"/>
  <c r="L54" i="3"/>
  <c r="F46" i="3"/>
  <c r="F45" i="3"/>
  <c r="F26" i="3"/>
  <c r="H26" i="3"/>
  <c r="L26" i="3"/>
  <c r="J26" i="3"/>
  <c r="D26" i="3"/>
  <c r="D27" i="3"/>
  <c r="H27" i="3"/>
  <c r="L27" i="3"/>
  <c r="D55" i="2"/>
  <c r="H55" i="2"/>
  <c r="F55" i="2"/>
  <c r="O50" i="3"/>
  <c r="F44" i="3"/>
  <c r="F43" i="3"/>
  <c r="F35" i="3"/>
  <c r="H35" i="3"/>
  <c r="J35" i="3"/>
  <c r="O33" i="3"/>
  <c r="O57" i="3" s="1"/>
  <c r="J53" i="2"/>
  <c r="D53" i="2"/>
  <c r="F53" i="2"/>
  <c r="D48" i="2"/>
  <c r="F48" i="2"/>
  <c r="J48" i="2"/>
  <c r="H47" i="2"/>
  <c r="J47" i="2"/>
  <c r="F47" i="2"/>
  <c r="D47" i="2"/>
  <c r="J45" i="2"/>
  <c r="D45" i="2"/>
  <c r="F45" i="2"/>
  <c r="D44" i="3"/>
  <c r="O39" i="3"/>
  <c r="H38" i="3"/>
  <c r="J38" i="3"/>
  <c r="L38" i="3"/>
  <c r="D38" i="3"/>
  <c r="L35" i="3"/>
  <c r="D30" i="3"/>
  <c r="L30" i="3"/>
  <c r="H30" i="3"/>
  <c r="F30" i="3"/>
  <c r="F56" i="2"/>
  <c r="D56" i="2"/>
  <c r="H56" i="2"/>
  <c r="J56" i="2"/>
  <c r="J42" i="2"/>
  <c r="D42" i="2"/>
  <c r="H42" i="2"/>
  <c r="F42" i="2"/>
  <c r="N57" i="3"/>
  <c r="D55" i="3"/>
  <c r="D43" i="3"/>
  <c r="O31" i="3"/>
  <c r="H29" i="3"/>
  <c r="L29" i="3"/>
  <c r="J29" i="3"/>
  <c r="D28" i="3"/>
  <c r="L28" i="3"/>
  <c r="J28" i="3"/>
  <c r="F28" i="3"/>
  <c r="J27" i="3"/>
  <c r="J34" i="2"/>
  <c r="D34" i="2"/>
  <c r="F34" i="2"/>
  <c r="H34" i="2"/>
  <c r="J55" i="2"/>
  <c r="H31" i="2"/>
  <c r="J31" i="2"/>
  <c r="D31" i="2"/>
  <c r="L43" i="3"/>
  <c r="O42" i="3"/>
  <c r="L37" i="3"/>
  <c r="D37" i="3"/>
  <c r="H37" i="3"/>
  <c r="H53" i="2"/>
  <c r="H48" i="2"/>
  <c r="H45" i="2"/>
  <c r="H39" i="2"/>
  <c r="J39" i="2"/>
  <c r="F39" i="2"/>
  <c r="D39" i="2"/>
  <c r="D35" i="2"/>
  <c r="F35" i="2"/>
  <c r="H35" i="2"/>
  <c r="F27" i="3"/>
  <c r="H36" i="2"/>
  <c r="J36" i="2"/>
  <c r="F36" i="2"/>
  <c r="D36" i="2"/>
  <c r="O54" i="2"/>
  <c r="J37" i="2"/>
  <c r="D37" i="2"/>
  <c r="H37" i="2"/>
  <c r="J26" i="2"/>
  <c r="D26" i="2"/>
  <c r="O57" i="2"/>
  <c r="O50" i="2"/>
  <c r="D43" i="2"/>
  <c r="F43" i="2"/>
  <c r="F33" i="2"/>
  <c r="H33" i="2"/>
  <c r="J33" i="2"/>
  <c r="O52" i="2"/>
  <c r="F49" i="2"/>
  <c r="H49" i="2"/>
  <c r="D49" i="2"/>
  <c r="J29" i="2"/>
  <c r="D29" i="2"/>
  <c r="D40" i="2"/>
  <c r="F40" i="2"/>
  <c r="C12" i="2"/>
  <c r="D51" i="2"/>
  <c r="F51" i="2"/>
  <c r="D32" i="2"/>
  <c r="F32" i="2"/>
  <c r="O44" i="2"/>
  <c r="F41" i="2"/>
  <c r="H41" i="2"/>
  <c r="D27" i="2"/>
  <c r="F27" i="2"/>
  <c r="H46" i="2"/>
  <c r="H38" i="2"/>
  <c r="H30" i="2"/>
  <c r="J51" i="3" l="1"/>
  <c r="H51" i="3"/>
  <c r="F51" i="3"/>
  <c r="L51" i="3"/>
  <c r="D51" i="3"/>
  <c r="F39" i="3"/>
  <c r="F57" i="3" s="1"/>
  <c r="F28" i="1" s="1"/>
  <c r="E28" i="1" s="1"/>
  <c r="J39" i="3"/>
  <c r="D39" i="3"/>
  <c r="D57" i="3" s="1"/>
  <c r="F27" i="1" s="1"/>
  <c r="E27" i="1" s="1"/>
  <c r="H39" i="3"/>
  <c r="L39" i="3"/>
  <c r="H52" i="2"/>
  <c r="J52" i="2"/>
  <c r="D52" i="2"/>
  <c r="F52" i="2"/>
  <c r="H44" i="2"/>
  <c r="J44" i="2"/>
  <c r="D44" i="2"/>
  <c r="F44" i="2"/>
  <c r="F32" i="1"/>
  <c r="E32" i="1" s="1"/>
  <c r="I16" i="2"/>
  <c r="F33" i="1"/>
  <c r="E33" i="1" s="1"/>
  <c r="I16" i="3"/>
  <c r="F56" i="3"/>
  <c r="J56" i="3"/>
  <c r="L56" i="3"/>
  <c r="H56" i="3"/>
  <c r="D56" i="3"/>
  <c r="H33" i="3"/>
  <c r="F33" i="3"/>
  <c r="J33" i="3"/>
  <c r="D33" i="3"/>
  <c r="L33" i="3"/>
  <c r="L57" i="3" s="1"/>
  <c r="F30" i="1" s="1"/>
  <c r="E30" i="1" s="1"/>
  <c r="H54" i="2"/>
  <c r="F54" i="2"/>
  <c r="J54" i="2"/>
  <c r="D54" i="2"/>
  <c r="D42" i="3"/>
  <c r="L42" i="3"/>
  <c r="F42" i="3"/>
  <c r="H42" i="3"/>
  <c r="J42" i="3"/>
  <c r="D50" i="3"/>
  <c r="L50" i="3"/>
  <c r="F50" i="3"/>
  <c r="H50" i="3"/>
  <c r="J50" i="3"/>
  <c r="J50" i="2"/>
  <c r="D50" i="2"/>
  <c r="H50" i="2"/>
  <c r="F50" i="2"/>
  <c r="J31" i="3"/>
  <c r="J57" i="3" s="1"/>
  <c r="F31" i="1" s="1"/>
  <c r="E31" i="1" s="1"/>
  <c r="F31" i="3"/>
  <c r="L31" i="3"/>
  <c r="D31" i="3"/>
  <c r="H31" i="3"/>
  <c r="H57" i="3" s="1"/>
  <c r="F29" i="1" s="1"/>
  <c r="E29" i="1" s="1"/>
  <c r="H28" i="2"/>
  <c r="J28" i="2"/>
  <c r="J57" i="2" s="1"/>
  <c r="F25" i="1" s="1"/>
  <c r="E25" i="1" s="1"/>
  <c r="F28" i="2"/>
  <c r="F57" i="2" s="1"/>
  <c r="F23" i="1" s="1"/>
  <c r="E23" i="1" s="1"/>
  <c r="D28" i="2"/>
  <c r="D57" i="2" s="1"/>
  <c r="F22" i="1" s="1"/>
  <c r="E22" i="1" l="1"/>
  <c r="H57" i="2"/>
  <c r="F24" i="1" s="1"/>
  <c r="E24" i="1" s="1"/>
  <c r="I17" i="3"/>
  <c r="K16" i="3"/>
  <c r="I17" i="2"/>
  <c r="K16" i="2"/>
  <c r="F34" i="1" l="1"/>
  <c r="E34" i="1"/>
  <c r="C53" i="2"/>
  <c r="P53" i="2" s="1"/>
  <c r="C26" i="2"/>
  <c r="P26" i="2" s="1"/>
  <c r="C28" i="2"/>
  <c r="P28" i="2" s="1"/>
  <c r="C52" i="2"/>
  <c r="P52" i="2" s="1"/>
  <c r="C44" i="2"/>
  <c r="P44" i="2" s="1"/>
  <c r="C36" i="2"/>
  <c r="P36" i="2" s="1"/>
  <c r="C56" i="2"/>
  <c r="P56" i="2" s="1"/>
  <c r="C30" i="2"/>
  <c r="P30" i="2" s="1"/>
  <c r="C41" i="2"/>
  <c r="P41" i="2" s="1"/>
  <c r="C22" i="1"/>
  <c r="C51" i="2"/>
  <c r="P51" i="2" s="1"/>
  <c r="C33" i="2"/>
  <c r="P33" i="2" s="1"/>
  <c r="C37" i="2"/>
  <c r="P37" i="2" s="1"/>
  <c r="C49" i="2"/>
  <c r="P49" i="2" s="1"/>
  <c r="C29" i="2"/>
  <c r="P29" i="2" s="1"/>
  <c r="C50" i="2"/>
  <c r="P50" i="2" s="1"/>
  <c r="C54" i="2"/>
  <c r="P54" i="2" s="1"/>
  <c r="C38" i="2"/>
  <c r="P38" i="2" s="1"/>
  <c r="C42" i="2"/>
  <c r="P42" i="2" s="1"/>
  <c r="C48" i="2"/>
  <c r="P48" i="2" s="1"/>
  <c r="C27" i="2"/>
  <c r="P27" i="2" s="1"/>
  <c r="C40" i="2"/>
  <c r="P40" i="2" s="1"/>
  <c r="C46" i="2"/>
  <c r="P46" i="2" s="1"/>
  <c r="C55" i="2"/>
  <c r="P55" i="2" s="1"/>
  <c r="C39" i="2"/>
  <c r="P39" i="2" s="1"/>
  <c r="C34" i="2"/>
  <c r="P34" i="2" s="1"/>
  <c r="C31" i="2"/>
  <c r="P31" i="2" s="1"/>
  <c r="C45" i="2"/>
  <c r="P45" i="2" s="1"/>
  <c r="C32" i="2"/>
  <c r="P32" i="2" s="1"/>
  <c r="C47" i="2"/>
  <c r="P47" i="2" s="1"/>
  <c r="C43" i="2"/>
  <c r="P43" i="2" s="1"/>
  <c r="C35" i="2"/>
  <c r="P35" i="2" s="1"/>
  <c r="I18" i="2"/>
  <c r="K17" i="2"/>
  <c r="C30" i="3"/>
  <c r="P30" i="3" s="1"/>
  <c r="C32" i="3"/>
  <c r="P32" i="3" s="1"/>
  <c r="C43" i="3"/>
  <c r="P43" i="3" s="1"/>
  <c r="C36" i="3"/>
  <c r="P36" i="3" s="1"/>
  <c r="C42" i="3"/>
  <c r="P42" i="3" s="1"/>
  <c r="C27" i="1"/>
  <c r="C44" i="3"/>
  <c r="P44" i="3" s="1"/>
  <c r="C45" i="3"/>
  <c r="P45" i="3" s="1"/>
  <c r="C48" i="3"/>
  <c r="P48" i="3" s="1"/>
  <c r="C56" i="3"/>
  <c r="P56" i="3" s="1"/>
  <c r="C52" i="3"/>
  <c r="P52" i="3" s="1"/>
  <c r="C55" i="3"/>
  <c r="P55" i="3" s="1"/>
  <c r="C50" i="3"/>
  <c r="P50" i="3" s="1"/>
  <c r="C49" i="3"/>
  <c r="P49" i="3" s="1"/>
  <c r="C51" i="3"/>
  <c r="P51" i="3" s="1"/>
  <c r="C33" i="3"/>
  <c r="P33" i="3" s="1"/>
  <c r="C47" i="3"/>
  <c r="P47" i="3" s="1"/>
  <c r="C26" i="3"/>
  <c r="P26" i="3" s="1"/>
  <c r="C37" i="3"/>
  <c r="P37" i="3" s="1"/>
  <c r="C31" i="3"/>
  <c r="P31" i="3" s="1"/>
  <c r="C35" i="3"/>
  <c r="P35" i="3" s="1"/>
  <c r="C54" i="3"/>
  <c r="P54" i="3" s="1"/>
  <c r="C53" i="3"/>
  <c r="P53" i="3" s="1"/>
  <c r="C46" i="3"/>
  <c r="P46" i="3" s="1"/>
  <c r="C39" i="3"/>
  <c r="P39" i="3" s="1"/>
  <c r="C38" i="3"/>
  <c r="P38" i="3" s="1"/>
  <c r="C27" i="3"/>
  <c r="P27" i="3" s="1"/>
  <c r="C28" i="3"/>
  <c r="P28" i="3" s="1"/>
  <c r="C34" i="3"/>
  <c r="P34" i="3" s="1"/>
  <c r="C41" i="3"/>
  <c r="P41" i="3" s="1"/>
  <c r="C29" i="3"/>
  <c r="P29" i="3" s="1"/>
  <c r="C40" i="3"/>
  <c r="P40" i="3" s="1"/>
  <c r="I18" i="3"/>
  <c r="K17" i="3"/>
  <c r="E28" i="3" l="1"/>
  <c r="Q28" i="3" s="1"/>
  <c r="E32" i="3"/>
  <c r="Q32" i="3" s="1"/>
  <c r="E37" i="3"/>
  <c r="Q37" i="3" s="1"/>
  <c r="E26" i="3"/>
  <c r="Q26" i="3" s="1"/>
  <c r="E31" i="3"/>
  <c r="Q31" i="3" s="1"/>
  <c r="E33" i="3"/>
  <c r="Q33" i="3" s="1"/>
  <c r="E35" i="3"/>
  <c r="Q35" i="3" s="1"/>
  <c r="E45" i="3"/>
  <c r="Q45" i="3" s="1"/>
  <c r="E53" i="3"/>
  <c r="Q53" i="3" s="1"/>
  <c r="E36" i="3"/>
  <c r="Q36" i="3" s="1"/>
  <c r="E44" i="3"/>
  <c r="Q44" i="3" s="1"/>
  <c r="E52" i="3"/>
  <c r="Q52" i="3" s="1"/>
  <c r="E27" i="3"/>
  <c r="Q27" i="3" s="1"/>
  <c r="E51" i="3"/>
  <c r="Q51" i="3" s="1"/>
  <c r="E34" i="3"/>
  <c r="Q34" i="3" s="1"/>
  <c r="E40" i="3"/>
  <c r="Q40" i="3" s="1"/>
  <c r="E29" i="3"/>
  <c r="Q29" i="3" s="1"/>
  <c r="E30" i="3"/>
  <c r="Q30" i="3" s="1"/>
  <c r="E39" i="3"/>
  <c r="Q39" i="3" s="1"/>
  <c r="E42" i="3"/>
  <c r="Q42" i="3" s="1"/>
  <c r="C28" i="1"/>
  <c r="E41" i="3"/>
  <c r="Q41" i="3" s="1"/>
  <c r="E43" i="3"/>
  <c r="Q43" i="3" s="1"/>
  <c r="E55" i="3"/>
  <c r="Q55" i="3" s="1"/>
  <c r="E47" i="3"/>
  <c r="Q47" i="3" s="1"/>
  <c r="E50" i="3"/>
  <c r="Q50" i="3" s="1"/>
  <c r="E49" i="3"/>
  <c r="Q49" i="3" s="1"/>
  <c r="E56" i="3"/>
  <c r="Q56" i="3" s="1"/>
  <c r="E54" i="3"/>
  <c r="Q54" i="3" s="1"/>
  <c r="E38" i="3"/>
  <c r="Q38" i="3" s="1"/>
  <c r="E48" i="3"/>
  <c r="Q48" i="3" s="1"/>
  <c r="E46" i="3"/>
  <c r="Q46" i="3" s="1"/>
  <c r="P57" i="3"/>
  <c r="I19" i="3"/>
  <c r="K18" i="3"/>
  <c r="E30" i="2"/>
  <c r="Q30" i="2" s="1"/>
  <c r="E38" i="2"/>
  <c r="Q38" i="2" s="1"/>
  <c r="E46" i="2"/>
  <c r="Q46" i="2" s="1"/>
  <c r="E54" i="2"/>
  <c r="Q54" i="2" s="1"/>
  <c r="E27" i="2"/>
  <c r="Q27" i="2" s="1"/>
  <c r="E35" i="2"/>
  <c r="Q35" i="2" s="1"/>
  <c r="E43" i="2"/>
  <c r="Q43" i="2" s="1"/>
  <c r="E51" i="2"/>
  <c r="Q51" i="2" s="1"/>
  <c r="E32" i="2"/>
  <c r="Q32" i="2" s="1"/>
  <c r="E40" i="2"/>
  <c r="Q40" i="2" s="1"/>
  <c r="E48" i="2"/>
  <c r="Q48" i="2" s="1"/>
  <c r="E29" i="2"/>
  <c r="Q29" i="2" s="1"/>
  <c r="E37" i="2"/>
  <c r="Q37" i="2" s="1"/>
  <c r="E45" i="2"/>
  <c r="Q45" i="2" s="1"/>
  <c r="E53" i="2"/>
  <c r="Q53" i="2" s="1"/>
  <c r="E42" i="2"/>
  <c r="Q42" i="2" s="1"/>
  <c r="E33" i="2"/>
  <c r="Q33" i="2" s="1"/>
  <c r="E36" i="2"/>
  <c r="Q36" i="2" s="1"/>
  <c r="E47" i="2"/>
  <c r="Q47" i="2" s="1"/>
  <c r="E56" i="2"/>
  <c r="Q56" i="2" s="1"/>
  <c r="E41" i="2"/>
  <c r="Q41" i="2" s="1"/>
  <c r="E44" i="2"/>
  <c r="Q44" i="2" s="1"/>
  <c r="C23" i="1"/>
  <c r="E31" i="2"/>
  <c r="Q31" i="2" s="1"/>
  <c r="E28" i="2"/>
  <c r="Q28" i="2" s="1"/>
  <c r="E55" i="2"/>
  <c r="Q55" i="2" s="1"/>
  <c r="E49" i="2"/>
  <c r="Q49" i="2" s="1"/>
  <c r="E52" i="2"/>
  <c r="Q52" i="2" s="1"/>
  <c r="E50" i="2"/>
  <c r="Q50" i="2" s="1"/>
  <c r="E26" i="2"/>
  <c r="Q26" i="2" s="1"/>
  <c r="E39" i="2"/>
  <c r="Q39" i="2" s="1"/>
  <c r="E34" i="2"/>
  <c r="Q34" i="2" s="1"/>
  <c r="P57" i="2"/>
  <c r="I19" i="2"/>
  <c r="K18" i="2"/>
  <c r="G28" i="2" l="1"/>
  <c r="R28" i="2" s="1"/>
  <c r="G36" i="2"/>
  <c r="R36" i="2" s="1"/>
  <c r="G44" i="2"/>
  <c r="R44" i="2" s="1"/>
  <c r="G52" i="2"/>
  <c r="R52" i="2" s="1"/>
  <c r="G33" i="2"/>
  <c r="R33" i="2" s="1"/>
  <c r="G41" i="2"/>
  <c r="R41" i="2" s="1"/>
  <c r="G49" i="2"/>
  <c r="R49" i="2" s="1"/>
  <c r="G30" i="2"/>
  <c r="R30" i="2" s="1"/>
  <c r="G38" i="2"/>
  <c r="R38" i="2" s="1"/>
  <c r="G46" i="2"/>
  <c r="R46" i="2" s="1"/>
  <c r="G27" i="2"/>
  <c r="R27" i="2" s="1"/>
  <c r="G35" i="2"/>
  <c r="R35" i="2" s="1"/>
  <c r="G43" i="2"/>
  <c r="R43" i="2" s="1"/>
  <c r="G51" i="2"/>
  <c r="R51" i="2" s="1"/>
  <c r="G56" i="2"/>
  <c r="R56" i="2" s="1"/>
  <c r="G26" i="2"/>
  <c r="R26" i="2" s="1"/>
  <c r="G45" i="2"/>
  <c r="R45" i="2" s="1"/>
  <c r="G31" i="2"/>
  <c r="R31" i="2" s="1"/>
  <c r="G50" i="2"/>
  <c r="R50" i="2" s="1"/>
  <c r="G55" i="2"/>
  <c r="R55" i="2" s="1"/>
  <c r="G32" i="2"/>
  <c r="R32" i="2" s="1"/>
  <c r="G39" i="2"/>
  <c r="R39" i="2" s="1"/>
  <c r="G34" i="2"/>
  <c r="R34" i="2" s="1"/>
  <c r="C24" i="1"/>
  <c r="G47" i="2"/>
  <c r="R47" i="2" s="1"/>
  <c r="G48" i="2"/>
  <c r="R48" i="2" s="1"/>
  <c r="G54" i="2"/>
  <c r="R54" i="2" s="1"/>
  <c r="G29" i="2"/>
  <c r="R29" i="2" s="1"/>
  <c r="G53" i="2"/>
  <c r="R53" i="2" s="1"/>
  <c r="G42" i="2"/>
  <c r="R42" i="2" s="1"/>
  <c r="G37" i="2"/>
  <c r="R37" i="2" s="1"/>
  <c r="G40" i="2"/>
  <c r="R40" i="2" s="1"/>
  <c r="K19" i="2"/>
  <c r="I20" i="2"/>
  <c r="K20" i="2" s="1"/>
  <c r="Q57" i="2"/>
  <c r="G23" i="1" s="1"/>
  <c r="D23" i="1" s="1"/>
  <c r="I20" i="3"/>
  <c r="K20" i="3" s="1"/>
  <c r="K19" i="3"/>
  <c r="Q57" i="3"/>
  <c r="G28" i="1" s="1"/>
  <c r="D28" i="1" s="1"/>
  <c r="G22" i="1"/>
  <c r="C29" i="1"/>
  <c r="G43" i="3"/>
  <c r="R43" i="3" s="1"/>
  <c r="G51" i="3"/>
  <c r="R51" i="3" s="1"/>
  <c r="G26" i="3"/>
  <c r="R26" i="3" s="1"/>
  <c r="G28" i="3"/>
  <c r="R28" i="3" s="1"/>
  <c r="G34" i="3"/>
  <c r="R34" i="3" s="1"/>
  <c r="G39" i="3"/>
  <c r="R39" i="3" s="1"/>
  <c r="G36" i="3"/>
  <c r="R36" i="3" s="1"/>
  <c r="G37" i="3"/>
  <c r="R37" i="3" s="1"/>
  <c r="G40" i="3"/>
  <c r="R40" i="3" s="1"/>
  <c r="G42" i="3"/>
  <c r="R42" i="3" s="1"/>
  <c r="G50" i="3"/>
  <c r="R50" i="3" s="1"/>
  <c r="G38" i="3"/>
  <c r="R38" i="3" s="1"/>
  <c r="G46" i="3"/>
  <c r="R46" i="3" s="1"/>
  <c r="G48" i="3"/>
  <c r="R48" i="3" s="1"/>
  <c r="G32" i="3"/>
  <c r="R32" i="3" s="1"/>
  <c r="G49" i="3"/>
  <c r="R49" i="3" s="1"/>
  <c r="G56" i="3"/>
  <c r="R56" i="3" s="1"/>
  <c r="G33" i="3"/>
  <c r="R33" i="3" s="1"/>
  <c r="G53" i="3"/>
  <c r="R53" i="3" s="1"/>
  <c r="G54" i="3"/>
  <c r="R54" i="3" s="1"/>
  <c r="G55" i="3"/>
  <c r="R55" i="3" s="1"/>
  <c r="G52" i="3"/>
  <c r="R52" i="3" s="1"/>
  <c r="G47" i="3"/>
  <c r="R47" i="3" s="1"/>
  <c r="G44" i="3"/>
  <c r="R44" i="3" s="1"/>
  <c r="G45" i="3"/>
  <c r="R45" i="3" s="1"/>
  <c r="G41" i="3"/>
  <c r="R41" i="3" s="1"/>
  <c r="G29" i="3"/>
  <c r="R29" i="3" s="1"/>
  <c r="G31" i="3"/>
  <c r="R31" i="3" s="1"/>
  <c r="G27" i="3"/>
  <c r="R27" i="3" s="1"/>
  <c r="G30" i="3"/>
  <c r="R30" i="3" s="1"/>
  <c r="G35" i="3"/>
  <c r="R35" i="3" s="1"/>
  <c r="G27" i="1"/>
  <c r="U47" i="2" l="1"/>
  <c r="U37" i="3"/>
  <c r="U33" i="2"/>
  <c r="U45" i="2"/>
  <c r="I36" i="3"/>
  <c r="S36" i="3" s="1"/>
  <c r="U36" i="3" s="1"/>
  <c r="I29" i="3"/>
  <c r="S29" i="3" s="1"/>
  <c r="I31" i="3"/>
  <c r="S31" i="3" s="1"/>
  <c r="I30" i="3"/>
  <c r="S30" i="3" s="1"/>
  <c r="I44" i="3"/>
  <c r="S44" i="3" s="1"/>
  <c r="I45" i="3"/>
  <c r="S45" i="3" s="1"/>
  <c r="I46" i="3"/>
  <c r="S46" i="3" s="1"/>
  <c r="U46" i="3" s="1"/>
  <c r="I47" i="3"/>
  <c r="S47" i="3" s="1"/>
  <c r="U47" i="3" s="1"/>
  <c r="C31" i="1"/>
  <c r="I50" i="3"/>
  <c r="S50" i="3" s="1"/>
  <c r="I51" i="3"/>
  <c r="S51" i="3" s="1"/>
  <c r="U51" i="3" s="1"/>
  <c r="I26" i="3"/>
  <c r="S26" i="3" s="1"/>
  <c r="I52" i="3"/>
  <c r="S52" i="3" s="1"/>
  <c r="I37" i="3"/>
  <c r="S37" i="3" s="1"/>
  <c r="I42" i="3"/>
  <c r="S42" i="3" s="1"/>
  <c r="U42" i="3" s="1"/>
  <c r="I43" i="3"/>
  <c r="S43" i="3" s="1"/>
  <c r="U43" i="3" s="1"/>
  <c r="I55" i="3"/>
  <c r="S55" i="3" s="1"/>
  <c r="U55" i="3" s="1"/>
  <c r="I54" i="3"/>
  <c r="S54" i="3" s="1"/>
  <c r="I28" i="3"/>
  <c r="S28" i="3" s="1"/>
  <c r="I49" i="3"/>
  <c r="S49" i="3" s="1"/>
  <c r="I35" i="3"/>
  <c r="S35" i="3" s="1"/>
  <c r="I40" i="3"/>
  <c r="S40" i="3" s="1"/>
  <c r="I38" i="3"/>
  <c r="S38" i="3" s="1"/>
  <c r="U38" i="3" s="1"/>
  <c r="I27" i="3"/>
  <c r="S27" i="3" s="1"/>
  <c r="U27" i="3" s="1"/>
  <c r="I53" i="3"/>
  <c r="S53" i="3" s="1"/>
  <c r="I34" i="3"/>
  <c r="S34" i="3" s="1"/>
  <c r="I32" i="3"/>
  <c r="S32" i="3" s="1"/>
  <c r="I41" i="3"/>
  <c r="S41" i="3" s="1"/>
  <c r="I33" i="3"/>
  <c r="S33" i="3" s="1"/>
  <c r="U33" i="3" s="1"/>
  <c r="I39" i="3"/>
  <c r="S39" i="3" s="1"/>
  <c r="I56" i="3"/>
  <c r="S56" i="3" s="1"/>
  <c r="U56" i="3" s="1"/>
  <c r="I48" i="3"/>
  <c r="S48" i="3" s="1"/>
  <c r="U55" i="2"/>
  <c r="U36" i="2"/>
  <c r="D27" i="1"/>
  <c r="D22" i="1"/>
  <c r="U39" i="3"/>
  <c r="R57" i="3"/>
  <c r="U35" i="2"/>
  <c r="I26" i="2"/>
  <c r="S26" i="2" s="1"/>
  <c r="I34" i="2"/>
  <c r="S34" i="2" s="1"/>
  <c r="U34" i="2" s="1"/>
  <c r="I39" i="2"/>
  <c r="S39" i="2" s="1"/>
  <c r="I47" i="2"/>
  <c r="S47" i="2" s="1"/>
  <c r="I28" i="2"/>
  <c r="S28" i="2" s="1"/>
  <c r="I36" i="2"/>
  <c r="S36" i="2" s="1"/>
  <c r="I44" i="2"/>
  <c r="S44" i="2" s="1"/>
  <c r="U44" i="2" s="1"/>
  <c r="I52" i="2"/>
  <c r="S52" i="2" s="1"/>
  <c r="C25" i="1"/>
  <c r="I29" i="2"/>
  <c r="S29" i="2" s="1"/>
  <c r="U29" i="2" s="1"/>
  <c r="I30" i="2"/>
  <c r="S30" i="2" s="1"/>
  <c r="I53" i="2"/>
  <c r="S53" i="2" s="1"/>
  <c r="I35" i="2"/>
  <c r="S35" i="2" s="1"/>
  <c r="I51" i="2"/>
  <c r="S51" i="2" s="1"/>
  <c r="I32" i="2"/>
  <c r="S32" i="2" s="1"/>
  <c r="I45" i="2"/>
  <c r="S45" i="2" s="1"/>
  <c r="I40" i="2"/>
  <c r="S40" i="2" s="1"/>
  <c r="U40" i="2" s="1"/>
  <c r="I43" i="2"/>
  <c r="S43" i="2" s="1"/>
  <c r="U43" i="2" s="1"/>
  <c r="I56" i="2"/>
  <c r="S56" i="2" s="1"/>
  <c r="U56" i="2" s="1"/>
  <c r="I37" i="2"/>
  <c r="S37" i="2" s="1"/>
  <c r="I46" i="2"/>
  <c r="S46" i="2" s="1"/>
  <c r="I31" i="2"/>
  <c r="S31" i="2" s="1"/>
  <c r="I50" i="2"/>
  <c r="S50" i="2" s="1"/>
  <c r="I41" i="2"/>
  <c r="S41" i="2" s="1"/>
  <c r="I38" i="2"/>
  <c r="S38" i="2" s="1"/>
  <c r="U38" i="2" s="1"/>
  <c r="I42" i="2"/>
  <c r="S42" i="2" s="1"/>
  <c r="I54" i="2"/>
  <c r="S54" i="2" s="1"/>
  <c r="I49" i="2"/>
  <c r="S49" i="2" s="1"/>
  <c r="U49" i="2" s="1"/>
  <c r="I27" i="2"/>
  <c r="S27" i="2" s="1"/>
  <c r="U27" i="2" s="1"/>
  <c r="I48" i="2"/>
  <c r="S48" i="2" s="1"/>
  <c r="I33" i="2"/>
  <c r="S33" i="2" s="1"/>
  <c r="I55" i="2"/>
  <c r="S55" i="2" s="1"/>
  <c r="U44" i="3"/>
  <c r="K37" i="2"/>
  <c r="T37" i="2" s="1"/>
  <c r="U37" i="2" s="1"/>
  <c r="K45" i="2"/>
  <c r="T45" i="2" s="1"/>
  <c r="K53" i="2"/>
  <c r="T53" i="2" s="1"/>
  <c r="K26" i="2"/>
  <c r="T26" i="2" s="1"/>
  <c r="K34" i="2"/>
  <c r="T34" i="2" s="1"/>
  <c r="K43" i="2"/>
  <c r="T43" i="2" s="1"/>
  <c r="K56" i="2"/>
  <c r="T56" i="2" s="1"/>
  <c r="K28" i="2"/>
  <c r="T28" i="2" s="1"/>
  <c r="C26" i="1"/>
  <c r="K30" i="2"/>
  <c r="T30" i="2" s="1"/>
  <c r="U30" i="2" s="1"/>
  <c r="K51" i="2"/>
  <c r="T51" i="2" s="1"/>
  <c r="K41" i="2"/>
  <c r="T41" i="2" s="1"/>
  <c r="K33" i="2"/>
  <c r="T33" i="2" s="1"/>
  <c r="K49" i="2"/>
  <c r="T49" i="2" s="1"/>
  <c r="K52" i="2"/>
  <c r="T52" i="2" s="1"/>
  <c r="U52" i="2" s="1"/>
  <c r="K44" i="2"/>
  <c r="T44" i="2" s="1"/>
  <c r="K27" i="2"/>
  <c r="T27" i="2" s="1"/>
  <c r="K36" i="2"/>
  <c r="T36" i="2" s="1"/>
  <c r="K55" i="2"/>
  <c r="T55" i="2" s="1"/>
  <c r="K47" i="2"/>
  <c r="T47" i="2" s="1"/>
  <c r="K29" i="2"/>
  <c r="T29" i="2" s="1"/>
  <c r="K54" i="2"/>
  <c r="T54" i="2" s="1"/>
  <c r="U54" i="2" s="1"/>
  <c r="K46" i="2"/>
  <c r="T46" i="2" s="1"/>
  <c r="U46" i="2" s="1"/>
  <c r="K42" i="2"/>
  <c r="T42" i="2" s="1"/>
  <c r="K39" i="2"/>
  <c r="T39" i="2" s="1"/>
  <c r="U39" i="2" s="1"/>
  <c r="K38" i="2"/>
  <c r="T38" i="2" s="1"/>
  <c r="K40" i="2"/>
  <c r="T40" i="2" s="1"/>
  <c r="K35" i="2"/>
  <c r="T35" i="2" s="1"/>
  <c r="K48" i="2"/>
  <c r="T48" i="2" s="1"/>
  <c r="U48" i="2" s="1"/>
  <c r="K31" i="2"/>
  <c r="T31" i="2" s="1"/>
  <c r="U31" i="2" s="1"/>
  <c r="K32" i="2"/>
  <c r="T32" i="2" s="1"/>
  <c r="K50" i="2"/>
  <c r="T50" i="2" s="1"/>
  <c r="U50" i="2" s="1"/>
  <c r="U35" i="3"/>
  <c r="R57" i="2"/>
  <c r="G24" i="1" s="1"/>
  <c r="D24" i="1" s="1"/>
  <c r="U51" i="2"/>
  <c r="U41" i="2"/>
  <c r="K26" i="3"/>
  <c r="T26" i="3" s="1"/>
  <c r="U26" i="3" s="1"/>
  <c r="K29" i="3"/>
  <c r="T29" i="3" s="1"/>
  <c r="U29" i="3" s="1"/>
  <c r="C30" i="1"/>
  <c r="K41" i="3"/>
  <c r="T41" i="3" s="1"/>
  <c r="U41" i="3" s="1"/>
  <c r="K42" i="3"/>
  <c r="T42" i="3" s="1"/>
  <c r="K43" i="3"/>
  <c r="T43" i="3" s="1"/>
  <c r="K45" i="3"/>
  <c r="T45" i="3" s="1"/>
  <c r="U45" i="3" s="1"/>
  <c r="K44" i="3"/>
  <c r="T44" i="3" s="1"/>
  <c r="K55" i="3"/>
  <c r="T55" i="3" s="1"/>
  <c r="K30" i="3"/>
  <c r="T30" i="3" s="1"/>
  <c r="K36" i="3"/>
  <c r="T36" i="3" s="1"/>
  <c r="K51" i="3"/>
  <c r="T51" i="3" s="1"/>
  <c r="K56" i="3"/>
  <c r="T56" i="3" s="1"/>
  <c r="K40" i="3"/>
  <c r="T40" i="3" s="1"/>
  <c r="U40" i="3" s="1"/>
  <c r="K52" i="3"/>
  <c r="T52" i="3" s="1"/>
  <c r="U52" i="3" s="1"/>
  <c r="K37" i="3"/>
  <c r="T37" i="3" s="1"/>
  <c r="K53" i="3"/>
  <c r="T53" i="3" s="1"/>
  <c r="U53" i="3" s="1"/>
  <c r="K27" i="3"/>
  <c r="T27" i="3" s="1"/>
  <c r="K38" i="3"/>
  <c r="T38" i="3" s="1"/>
  <c r="K31" i="3"/>
  <c r="T31" i="3" s="1"/>
  <c r="K47" i="3"/>
  <c r="T47" i="3" s="1"/>
  <c r="K28" i="3"/>
  <c r="T28" i="3" s="1"/>
  <c r="K32" i="3"/>
  <c r="T32" i="3" s="1"/>
  <c r="U32" i="3" s="1"/>
  <c r="K48" i="3"/>
  <c r="T48" i="3" s="1"/>
  <c r="U48" i="3" s="1"/>
  <c r="K54" i="3"/>
  <c r="T54" i="3" s="1"/>
  <c r="K46" i="3"/>
  <c r="T46" i="3" s="1"/>
  <c r="K35" i="3"/>
  <c r="T35" i="3" s="1"/>
  <c r="K50" i="3"/>
  <c r="T50" i="3" s="1"/>
  <c r="U50" i="3" s="1"/>
  <c r="K49" i="3"/>
  <c r="T49" i="3" s="1"/>
  <c r="U49" i="3" s="1"/>
  <c r="K39" i="3"/>
  <c r="T39" i="3" s="1"/>
  <c r="K34" i="3"/>
  <c r="T34" i="3" s="1"/>
  <c r="U34" i="3" s="1"/>
  <c r="K33" i="3"/>
  <c r="T33" i="3" s="1"/>
  <c r="G29" i="1" l="1"/>
  <c r="U57" i="3"/>
  <c r="R59" i="3" s="1"/>
  <c r="U32" i="2"/>
  <c r="S57" i="2"/>
  <c r="G25" i="1" s="1"/>
  <c r="D25" i="1" s="1"/>
  <c r="U26" i="2"/>
  <c r="T57" i="2"/>
  <c r="G26" i="1" s="1"/>
  <c r="D26" i="1" s="1"/>
  <c r="S57" i="3"/>
  <c r="G31" i="1" s="1"/>
  <c r="D31" i="1" s="1"/>
  <c r="U30" i="3"/>
  <c r="U42" i="2"/>
  <c r="T57" i="3"/>
  <c r="G30" i="1" s="1"/>
  <c r="D30" i="1" s="1"/>
  <c r="U28" i="2"/>
  <c r="U28" i="3"/>
  <c r="U31" i="3"/>
  <c r="U53" i="2"/>
  <c r="U54" i="3"/>
  <c r="G34" i="1" l="1"/>
  <c r="G37" i="1" s="1"/>
  <c r="D29" i="1"/>
  <c r="F16" i="1"/>
  <c r="U57" i="2"/>
  <c r="R59" i="2" s="1"/>
  <c r="F15" i="1"/>
</calcChain>
</file>

<file path=xl/sharedStrings.xml><?xml version="1.0" encoding="utf-8"?>
<sst xmlns="http://schemas.openxmlformats.org/spreadsheetml/2006/main" count="196" uniqueCount="117">
  <si>
    <t xml:space="preserve">Bill To:  </t>
  </si>
  <si>
    <t>Remit To:</t>
  </si>
  <si>
    <t xml:space="preserve">Verification Date: </t>
  </si>
  <si>
    <t>Enron North America Corp.</t>
  </si>
  <si>
    <t>Kennedy Oil</t>
  </si>
  <si>
    <t>Bank:  First Interstate Bank</t>
  </si>
  <si>
    <t>ABA:  102300129</t>
  </si>
  <si>
    <t>Due Date:</t>
  </si>
  <si>
    <t>Acct:  362170342</t>
  </si>
  <si>
    <t>Payment Method:</t>
  </si>
  <si>
    <t>Contact:  Theresa Staab</t>
  </si>
  <si>
    <t>Contact:  Ruth Reile</t>
  </si>
  <si>
    <t>Wire</t>
  </si>
  <si>
    <t>Tel:  (303) 575-6485</t>
  </si>
  <si>
    <t>Tel:  (307) 682-8726</t>
  </si>
  <si>
    <t>Terms:</t>
  </si>
  <si>
    <t>Fax: (303) 534-0552</t>
  </si>
  <si>
    <t>Fax: (307) 682-6060</t>
  </si>
  <si>
    <t>Last Day of Month</t>
  </si>
  <si>
    <t xml:space="preserve">Delivery Period: </t>
  </si>
  <si>
    <t>Contract #</t>
  </si>
  <si>
    <t>Meter # / Meter Name</t>
  </si>
  <si>
    <t>Net Volume Mmbtu</t>
  </si>
  <si>
    <t>WT. Average Price</t>
  </si>
  <si>
    <t xml:space="preserve">Box Draw </t>
  </si>
  <si>
    <t>South Kitty</t>
  </si>
  <si>
    <t>TOTAL</t>
  </si>
  <si>
    <t>Index</t>
  </si>
  <si>
    <t>Discount / Premium</t>
  </si>
  <si>
    <t>Price/MMBtu</t>
  </si>
  <si>
    <t>Mcf Quantity</t>
  </si>
  <si>
    <t>MMBtu Quantity</t>
  </si>
  <si>
    <t>Amount Due</t>
  </si>
  <si>
    <t>FOM CIG GD Box Draw</t>
  </si>
  <si>
    <t>FOM IF NGPL-Midcont. Box Draw</t>
  </si>
  <si>
    <t>FOM IF CIG - Rockies Box Draw</t>
  </si>
  <si>
    <t>Add'l CIG GD +.10 - Box Draw</t>
  </si>
  <si>
    <t>Add'l CIG GD - Box Draw</t>
  </si>
  <si>
    <t>FOM CIG GD South Kitty</t>
  </si>
  <si>
    <t>FOM IF NGPL-Midcont. South Kitty</t>
  </si>
  <si>
    <t>FOM IF CIG - Rockies South Kitty</t>
  </si>
  <si>
    <t>Add'l CIG GD -South Kitty</t>
  </si>
  <si>
    <t>Add'l CIG GD +.10 - South Kitty</t>
  </si>
  <si>
    <t>Box Draw</t>
  </si>
  <si>
    <t>Fuel Loss</t>
  </si>
  <si>
    <t>$             0.00</t>
  </si>
  <si>
    <t>$                                        0.00</t>
  </si>
  <si>
    <t>S. Kitty</t>
  </si>
  <si>
    <t>Total</t>
  </si>
  <si>
    <t>TOTAL PAYMENT</t>
  </si>
  <si>
    <t>Kennedy</t>
  </si>
  <si>
    <t>Contact:</t>
  </si>
  <si>
    <t>Ruth Reile</t>
  </si>
  <si>
    <t>Enron North America</t>
  </si>
  <si>
    <t>PH:</t>
  </si>
  <si>
    <t>307-682-8726</t>
  </si>
  <si>
    <t>FAX:</t>
  </si>
  <si>
    <t>307-682-6060</t>
  </si>
  <si>
    <t>Theresa Staab</t>
  </si>
  <si>
    <t>303-575-6485</t>
  </si>
  <si>
    <t>Inside FERC NGPL Midcont.:</t>
  </si>
  <si>
    <t>Inside FERC CIG:</t>
  </si>
  <si>
    <t>First of Month Nomination:</t>
  </si>
  <si>
    <t>MMBtu</t>
  </si>
  <si>
    <t>Additional Purchases:</t>
  </si>
  <si>
    <t>Wt. Avg. Btu:</t>
  </si>
  <si>
    <t>Nom.</t>
  </si>
  <si>
    <t>Pro rata Production</t>
  </si>
  <si>
    <t>Transportation/MMBtu</t>
  </si>
  <si>
    <t>Box Draw Net Backs:</t>
  </si>
  <si>
    <t>Index Discount/Premium</t>
  </si>
  <si>
    <t>Crestone Transport/MMBtu</t>
  </si>
  <si>
    <t>WIC Xport</t>
  </si>
  <si>
    <t>Trailblazer Xport</t>
  </si>
  <si>
    <t>Trailblazer Fuel (0%*NGPLindex)</t>
  </si>
  <si>
    <t>Total Receipts Fee Adjustment*</t>
  </si>
  <si>
    <t>Total Net Back</t>
  </si>
  <si>
    <t>FOM Nom.</t>
  </si>
  <si>
    <t>CIG GD</t>
  </si>
  <si>
    <t>IF NGPL Midcont.</t>
  </si>
  <si>
    <t>IF CIG Rockies</t>
  </si>
  <si>
    <t>Add'l Purchases</t>
  </si>
  <si>
    <t>See GD Pricing Sheet</t>
  </si>
  <si>
    <t>BOX DRAW</t>
  </si>
  <si>
    <t>Over 80% of FOM Nom.</t>
  </si>
  <si>
    <t>FOM CIG GD Volume MMBtu</t>
  </si>
  <si>
    <t>Box Draw (Less S. Kitty) 80% of FOM Nom. up to 12,000/Day</t>
  </si>
  <si>
    <t>NGPL Volume MMBtu</t>
  </si>
  <si>
    <t>80% of FOM Nom. Less 12,000/Day</t>
  </si>
  <si>
    <t>FOM CIG Volume MMBtu</t>
  </si>
  <si>
    <t>Additional CIG GD +.10 Purchases</t>
  </si>
  <si>
    <t>Add'l CIG GD + .10 Volume MMBtu</t>
  </si>
  <si>
    <t>Additional CIG GD - Daily Discount</t>
  </si>
  <si>
    <t>Add'l CIG GD - Daily Discount Volume MMBtu</t>
  </si>
  <si>
    <t xml:space="preserve"> Total Box Draw Allocated Fuel MMBtu</t>
  </si>
  <si>
    <t>Box Draw Wellhead Production MMBtu</t>
  </si>
  <si>
    <t>Total Purchased Production MMBtu</t>
  </si>
  <si>
    <t>Total Box Draw Payments by Pricing Package</t>
  </si>
  <si>
    <t>(7% Max to Maverick)</t>
  </si>
  <si>
    <t>CIG GD Rockies</t>
  </si>
  <si>
    <t>CIG GD less Netback</t>
  </si>
  <si>
    <t>NGPL less Netback</t>
  </si>
  <si>
    <t>CIG less Netback</t>
  </si>
  <si>
    <t>$ FOM CIG GD</t>
  </si>
  <si>
    <t>$ NGPL</t>
  </si>
  <si>
    <t>$ FOM CIG</t>
  </si>
  <si>
    <t>$ Add'l CIG GD + .10</t>
  </si>
  <si>
    <t>$ Add'l CIG GD - Daily Discount</t>
  </si>
  <si>
    <t>Total Payment</t>
  </si>
  <si>
    <t>Avg. $/Mmbtu:</t>
  </si>
  <si>
    <t>*Total Receipts Fee Adjustment is calculated by applying the Field Services Fee to the fuel volume and then dividing that dollar amount(fee times fuel volume) by the volume purchased.</t>
  </si>
  <si>
    <t>S. Kitty Net Backs:</t>
  </si>
  <si>
    <t>EMS Transport/MMBtu</t>
  </si>
  <si>
    <t>SOUTH KITTY</t>
  </si>
  <si>
    <t xml:space="preserve"> Total South Kitty Allocated Fuel MMBtu</t>
  </si>
  <si>
    <t>Total South Kitty Production MMBtu</t>
  </si>
  <si>
    <t>Total South Kitty Payments by Pricing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</si>
</sst>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_);_(@_)"/>
    <numFmt numFmtId="169" formatCode="0.0000"/>
    <numFmt numFmtId="173" formatCode="_(* #,##0_);_(* \(#,##0\);_(* &quot;-&quot;??_);_(@_)"/>
    <numFmt numFmtId="175" formatCode="_(&quot;$&quot;* #,##0.000000_);_(&quot;$&quot;* \(#,##0.000000\);_(&quot;$&quot;* &quot;-&quot;??_);_(@_)"/>
    <numFmt numFmtId="181" formatCode="0.0%"/>
    <numFmt numFmtId="183" formatCode="_(* #,##0.0000_);_(* \(#,##0.0000\);_(* &quot;-&quot;??_);_(@_)"/>
    <numFmt numFmtId="194" formatCode="dd\-mmm\-yy"/>
    <numFmt numFmtId="195" formatCode="mm/dd/yy"/>
    <numFmt numFmtId="201" formatCode="_(&quot;$&quot;* #,##0.0000_);_(&quot;$&quot;* \(#,##0.0000\);_(&quot;$&quot;* &quot;-&quot;??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4"/>
      <color indexed="9"/>
      <name val="Arial Black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44" fontId="1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194" fontId="3" fillId="0" borderId="6" xfId="0" quotePrefix="1" applyNumberFormat="1" applyFont="1" applyBorder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95" fontId="1" fillId="0" borderId="10" xfId="2" applyNumberFormat="1" applyBorder="1"/>
    <xf numFmtId="0" fontId="0" fillId="0" borderId="10" xfId="0" applyBorder="1"/>
    <xf numFmtId="0" fontId="0" fillId="0" borderId="0" xfId="0" applyBorder="1"/>
    <xf numFmtId="0" fontId="2" fillId="0" borderId="0" xfId="0" applyFont="1"/>
    <xf numFmtId="17" fontId="2" fillId="0" borderId="0" xfId="0" quotePrefix="1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" fontId="0" fillId="0" borderId="0" xfId="0" quotePrefix="1" applyNumberFormat="1"/>
    <xf numFmtId="201" fontId="5" fillId="0" borderId="0" xfId="2" applyNumberFormat="1" applyFont="1"/>
    <xf numFmtId="17" fontId="0" fillId="0" borderId="0" xfId="0" quotePrefix="1" applyNumberFormat="1"/>
    <xf numFmtId="1" fontId="0" fillId="0" borderId="11" xfId="0" applyNumberFormat="1" applyBorder="1"/>
    <xf numFmtId="201" fontId="1" fillId="0" borderId="0" xfId="2" applyNumberFormat="1"/>
    <xf numFmtId="0" fontId="0" fillId="0" borderId="0" xfId="0" applyAlignment="1">
      <alignment horizontal="right"/>
    </xf>
    <xf numFmtId="1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4" fontId="0" fillId="0" borderId="0" xfId="0" applyNumberFormat="1"/>
    <xf numFmtId="165" fontId="1" fillId="0" borderId="0" xfId="2" applyNumberFormat="1"/>
    <xf numFmtId="175" fontId="1" fillId="0" borderId="0" xfId="2" applyNumberFormat="1"/>
    <xf numFmtId="173" fontId="1" fillId="0" borderId="0" xfId="1" applyNumberFormat="1"/>
    <xf numFmtId="44" fontId="0" fillId="0" borderId="0" xfId="0" applyNumberFormat="1"/>
    <xf numFmtId="0" fontId="0" fillId="0" borderId="11" xfId="0" applyBorder="1"/>
    <xf numFmtId="0" fontId="3" fillId="0" borderId="11" xfId="0" applyFont="1" applyBorder="1"/>
    <xf numFmtId="165" fontId="3" fillId="0" borderId="11" xfId="2" applyNumberFormat="1" applyFont="1" applyBorder="1"/>
    <xf numFmtId="175" fontId="3" fillId="0" borderId="11" xfId="2" applyNumberFormat="1" applyFont="1" applyBorder="1"/>
    <xf numFmtId="173" fontId="3" fillId="0" borderId="11" xfId="1" applyNumberFormat="1" applyFont="1" applyBorder="1"/>
    <xf numFmtId="44" fontId="3" fillId="0" borderId="11" xfId="0" applyNumberFormat="1" applyFont="1" applyBorder="1"/>
    <xf numFmtId="44" fontId="1" fillId="0" borderId="0" xfId="2" quotePrefix="1" applyFont="1"/>
    <xf numFmtId="44" fontId="1" fillId="0" borderId="0" xfId="2" quotePrefix="1" applyFont="1" applyAlignment="1">
      <alignment horizontal="right"/>
    </xf>
    <xf numFmtId="173" fontId="2" fillId="0" borderId="0" xfId="1" applyNumberFormat="1" applyFont="1"/>
    <xf numFmtId="44" fontId="2" fillId="0" borderId="0" xfId="2" quotePrefix="1" applyFont="1"/>
    <xf numFmtId="44" fontId="2" fillId="0" borderId="0" xfId="2" quotePrefix="1" applyFont="1" applyAlignment="1">
      <alignment horizontal="right"/>
    </xf>
    <xf numFmtId="173" fontId="0" fillId="0" borderId="0" xfId="0" applyNumberFormat="1"/>
    <xf numFmtId="0" fontId="2" fillId="0" borderId="0" xfId="0" applyFont="1" applyAlignment="1">
      <alignment horizontal="right"/>
    </xf>
    <xf numFmtId="173" fontId="2" fillId="0" borderId="0" xfId="0" applyNumberFormat="1" applyFont="1"/>
    <xf numFmtId="44" fontId="2" fillId="0" borderId="0" xfId="0" applyNumberFormat="1" applyFont="1"/>
    <xf numFmtId="10" fontId="1" fillId="0" borderId="0" xfId="3" applyNumberFormat="1"/>
    <xf numFmtId="0" fontId="2" fillId="0" borderId="0" xfId="0" applyFont="1" applyAlignment="1"/>
    <xf numFmtId="0" fontId="0" fillId="0" borderId="0" xfId="0" applyAlignment="1"/>
    <xf numFmtId="195" fontId="1" fillId="0" borderId="0" xfId="2" applyNumberFormat="1" applyAlignment="1"/>
    <xf numFmtId="17" fontId="2" fillId="0" borderId="0" xfId="0" applyNumberFormat="1" applyFont="1" applyAlignment="1">
      <alignment horizontal="left"/>
    </xf>
    <xf numFmtId="44" fontId="1" fillId="0" borderId="0" xfId="2" applyAlignment="1"/>
    <xf numFmtId="17" fontId="2" fillId="0" borderId="0" xfId="0" applyNumberFormat="1" applyFont="1" applyAlignment="1"/>
    <xf numFmtId="173" fontId="7" fillId="0" borderId="0" xfId="1" applyNumberFormat="1" applyFont="1" applyAlignment="1"/>
    <xf numFmtId="173" fontId="8" fillId="0" borderId="0" xfId="1" applyNumberFormat="1" applyFont="1" applyAlignment="1"/>
    <xf numFmtId="17" fontId="2" fillId="0" borderId="12" xfId="0" applyNumberFormat="1" applyFont="1" applyBorder="1" applyAlignment="1"/>
    <xf numFmtId="17" fontId="2" fillId="0" borderId="13" xfId="0" applyNumberFormat="1" applyFont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169" fontId="3" fillId="0" borderId="16" xfId="0" applyNumberFormat="1" applyFont="1" applyBorder="1" applyAlignment="1"/>
    <xf numFmtId="41" fontId="1" fillId="0" borderId="16" xfId="1" applyNumberFormat="1" applyBorder="1" applyAlignment="1"/>
    <xf numFmtId="181" fontId="1" fillId="0" borderId="16" xfId="3" applyNumberFormat="1" applyBorder="1" applyAlignment="1"/>
    <xf numFmtId="44" fontId="4" fillId="0" borderId="17" xfId="2" applyFont="1" applyBorder="1" applyAlignment="1"/>
    <xf numFmtId="0" fontId="0" fillId="0" borderId="18" xfId="0" applyBorder="1" applyAlignment="1"/>
    <xf numFmtId="169" fontId="3" fillId="0" borderId="19" xfId="0" applyNumberFormat="1" applyFont="1" applyBorder="1" applyAlignment="1"/>
    <xf numFmtId="173" fontId="0" fillId="0" borderId="19" xfId="0" applyNumberFormat="1" applyBorder="1" applyAlignment="1"/>
    <xf numFmtId="181" fontId="1" fillId="0" borderId="19" xfId="3" applyNumberFormat="1" applyBorder="1" applyAlignment="1"/>
    <xf numFmtId="44" fontId="4" fillId="0" borderId="20" xfId="2" applyFont="1" applyBorder="1" applyAlignment="1"/>
    <xf numFmtId="17" fontId="0" fillId="0" borderId="0" xfId="0" applyNumberFormat="1" applyAlignment="1"/>
    <xf numFmtId="173" fontId="0" fillId="0" borderId="0" xfId="0" applyNumberFormat="1" applyAlignment="1"/>
    <xf numFmtId="165" fontId="2" fillId="0" borderId="12" xfId="2" applyNumberFormat="1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5" fontId="1" fillId="0" borderId="15" xfId="2" applyNumberFormat="1" applyFont="1" applyFill="1" applyBorder="1" applyAlignment="1"/>
    <xf numFmtId="165" fontId="1" fillId="0" borderId="16" xfId="2" applyNumberFormat="1" applyFont="1" applyFill="1" applyBorder="1" applyAlignment="1"/>
    <xf numFmtId="165" fontId="1" fillId="0" borderId="16" xfId="2" applyNumberFormat="1" applyFill="1" applyBorder="1" applyAlignment="1"/>
    <xf numFmtId="183" fontId="0" fillId="0" borderId="16" xfId="0" applyNumberFormat="1" applyBorder="1" applyAlignment="1"/>
    <xf numFmtId="165" fontId="2" fillId="0" borderId="17" xfId="2" applyNumberFormat="1" applyFont="1" applyFill="1" applyBorder="1" applyAlignment="1"/>
    <xf numFmtId="165" fontId="9" fillId="0" borderId="16" xfId="2" applyNumberFormat="1" applyFont="1" applyFill="1" applyBorder="1" applyAlignment="1"/>
    <xf numFmtId="165" fontId="0" fillId="0" borderId="0" xfId="0" applyNumberFormat="1" applyAlignment="1"/>
    <xf numFmtId="43" fontId="0" fillId="0" borderId="0" xfId="0" applyNumberFormat="1" applyAlignment="1"/>
    <xf numFmtId="0" fontId="10" fillId="2" borderId="21" xfId="0" applyFont="1" applyFill="1" applyBorder="1" applyAlignment="1">
      <alignment horizontal="centerContinuous"/>
    </xf>
    <xf numFmtId="0" fontId="10" fillId="2" borderId="22" xfId="0" applyFont="1" applyFill="1" applyBorder="1" applyAlignment="1">
      <alignment horizontal="centerContinuous"/>
    </xf>
    <xf numFmtId="0" fontId="10" fillId="2" borderId="23" xfId="0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Continuous"/>
    </xf>
    <xf numFmtId="0" fontId="0" fillId="0" borderId="25" xfId="0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4" borderId="23" xfId="0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5" xfId="0" applyBorder="1" applyAlignment="1">
      <alignment wrapText="1"/>
    </xf>
    <xf numFmtId="0" fontId="0" fillId="3" borderId="28" xfId="0" applyFill="1" applyBorder="1" applyAlignment="1">
      <alignment wrapText="1"/>
    </xf>
    <xf numFmtId="173" fontId="1" fillId="0" borderId="25" xfId="1" applyNumberFormat="1" applyBorder="1" applyAlignment="1">
      <alignment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0" borderId="28" xfId="0" applyBorder="1" applyAlignment="1"/>
    <xf numFmtId="0" fontId="0" fillId="0" borderId="0" xfId="0" applyBorder="1" applyAlignment="1"/>
    <xf numFmtId="0" fontId="0" fillId="0" borderId="25" xfId="0" applyBorder="1" applyAlignment="1"/>
    <xf numFmtId="0" fontId="0" fillId="4" borderId="25" xfId="0" applyFill="1" applyBorder="1" applyAlignment="1">
      <alignment wrapText="1"/>
    </xf>
    <xf numFmtId="0" fontId="0" fillId="3" borderId="28" xfId="0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16" fontId="0" fillId="0" borderId="0" xfId="0" applyNumberFormat="1" applyAlignment="1"/>
    <xf numFmtId="165" fontId="1" fillId="0" borderId="0" xfId="2" applyNumberFormat="1" applyAlignment="1"/>
    <xf numFmtId="165" fontId="1" fillId="3" borderId="26" xfId="2" applyNumberFormat="1" applyFill="1" applyBorder="1" applyAlignment="1"/>
    <xf numFmtId="3" fontId="0" fillId="0" borderId="27" xfId="0" applyNumberFormat="1" applyBorder="1" applyAlignment="1"/>
    <xf numFmtId="165" fontId="0" fillId="3" borderId="26" xfId="0" applyNumberFormat="1" applyFill="1" applyBorder="1" applyAlignment="1"/>
    <xf numFmtId="173" fontId="1" fillId="0" borderId="27" xfId="1" applyNumberFormat="1" applyBorder="1" applyAlignment="1"/>
    <xf numFmtId="41" fontId="1" fillId="0" borderId="27" xfId="1" applyNumberFormat="1" applyBorder="1" applyAlignment="1"/>
    <xf numFmtId="41" fontId="1" fillId="0" borderId="23" xfId="1" applyNumberFormat="1" applyFill="1" applyBorder="1" applyAlignment="1"/>
    <xf numFmtId="3" fontId="5" fillId="4" borderId="26" xfId="0" applyNumberFormat="1" applyFont="1" applyFill="1" applyBorder="1" applyAlignment="1"/>
    <xf numFmtId="173" fontId="1" fillId="4" borderId="23" xfId="1" applyNumberFormat="1" applyFill="1" applyBorder="1" applyAlignment="1"/>
    <xf numFmtId="173" fontId="2" fillId="4" borderId="23" xfId="1" applyNumberFormat="1" applyFont="1" applyFill="1" applyBorder="1" applyAlignment="1"/>
    <xf numFmtId="44" fontId="1" fillId="0" borderId="28" xfId="2" applyBorder="1" applyAlignment="1"/>
    <xf numFmtId="44" fontId="1" fillId="0" borderId="0" xfId="2" applyBorder="1" applyAlignment="1"/>
    <xf numFmtId="44" fontId="1" fillId="0" borderId="25" xfId="2" applyBorder="1" applyAlignment="1"/>
    <xf numFmtId="44" fontId="0" fillId="4" borderId="27" xfId="0" applyNumberFormat="1" applyFill="1" applyBorder="1" applyAlignment="1"/>
    <xf numFmtId="165" fontId="1" fillId="3" borderId="28" xfId="2" applyNumberFormat="1" applyFill="1" applyBorder="1" applyAlignment="1"/>
    <xf numFmtId="3" fontId="0" fillId="0" borderId="25" xfId="0" applyNumberFormat="1" applyBorder="1" applyAlignment="1"/>
    <xf numFmtId="165" fontId="0" fillId="3" borderId="28" xfId="0" applyNumberFormat="1" applyFill="1" applyBorder="1" applyAlignment="1"/>
    <xf numFmtId="173" fontId="1" fillId="0" borderId="25" xfId="1" applyNumberFormat="1" applyBorder="1" applyAlignment="1"/>
    <xf numFmtId="41" fontId="1" fillId="0" borderId="25" xfId="1" applyNumberFormat="1" applyBorder="1" applyAlignment="1"/>
    <xf numFmtId="41" fontId="1" fillId="0" borderId="0" xfId="1" applyNumberFormat="1" applyFill="1" applyBorder="1" applyAlignment="1"/>
    <xf numFmtId="3" fontId="5" fillId="4" borderId="28" xfId="0" applyNumberFormat="1" applyFont="1" applyFill="1" applyBorder="1" applyAlignment="1"/>
    <xf numFmtId="173" fontId="1" fillId="4" borderId="0" xfId="1" applyNumberFormat="1" applyFill="1" applyBorder="1" applyAlignment="1"/>
    <xf numFmtId="173" fontId="2" fillId="4" borderId="0" xfId="1" applyNumberFormat="1" applyFont="1" applyFill="1" applyBorder="1" applyAlignment="1"/>
    <xf numFmtId="44" fontId="0" fillId="4" borderId="25" xfId="0" applyNumberFormat="1" applyFill="1" applyBorder="1" applyAlignment="1"/>
    <xf numFmtId="165" fontId="3" fillId="0" borderId="0" xfId="2" applyNumberFormat="1" applyFont="1" applyAlignment="1"/>
    <xf numFmtId="165" fontId="1" fillId="3" borderId="29" xfId="2" applyNumberFormat="1" applyFill="1" applyBorder="1" applyAlignment="1"/>
    <xf numFmtId="3" fontId="0" fillId="0" borderId="30" xfId="0" applyNumberFormat="1" applyBorder="1" applyAlignment="1"/>
    <xf numFmtId="165" fontId="0" fillId="3" borderId="29" xfId="0" applyNumberFormat="1" applyFill="1" applyBorder="1" applyAlignment="1"/>
    <xf numFmtId="173" fontId="1" fillId="0" borderId="30" xfId="1" applyNumberFormat="1" applyBorder="1" applyAlignment="1"/>
    <xf numFmtId="41" fontId="1" fillId="0" borderId="30" xfId="1" applyNumberFormat="1" applyBorder="1" applyAlignment="1"/>
    <xf numFmtId="165" fontId="0" fillId="0" borderId="29" xfId="0" applyNumberFormat="1" applyFill="1" applyBorder="1" applyAlignment="1"/>
    <xf numFmtId="41" fontId="1" fillId="0" borderId="10" xfId="1" applyNumberFormat="1" applyFill="1" applyBorder="1" applyAlignment="1"/>
    <xf numFmtId="3" fontId="5" fillId="4" borderId="29" xfId="0" applyNumberFormat="1" applyFont="1" applyFill="1" applyBorder="1" applyAlignment="1"/>
    <xf numFmtId="173" fontId="1" fillId="4" borderId="10" xfId="1" applyNumberFormat="1" applyFill="1" applyBorder="1" applyAlignment="1"/>
    <xf numFmtId="44" fontId="1" fillId="0" borderId="29" xfId="2" applyBorder="1" applyAlignment="1"/>
    <xf numFmtId="44" fontId="1" fillId="0" borderId="10" xfId="2" applyBorder="1" applyAlignment="1"/>
    <xf numFmtId="44" fontId="1" fillId="0" borderId="30" xfId="2" applyBorder="1" applyAlignment="1"/>
    <xf numFmtId="44" fontId="0" fillId="4" borderId="30" xfId="0" applyNumberFormat="1" applyFill="1" applyBorder="1" applyAlignment="1"/>
    <xf numFmtId="3" fontId="2" fillId="0" borderId="0" xfId="0" applyNumberFormat="1" applyFont="1" applyAlignment="1"/>
    <xf numFmtId="173" fontId="2" fillId="0" borderId="0" xfId="1" applyNumberFormat="1" applyFont="1" applyAlignment="1"/>
    <xf numFmtId="3" fontId="2" fillId="0" borderId="0" xfId="0" applyNumberFormat="1" applyFont="1" applyBorder="1" applyAlignment="1"/>
    <xf numFmtId="3" fontId="11" fillId="4" borderId="0" xfId="0" applyNumberFormat="1" applyFont="1" applyFill="1" applyBorder="1" applyAlignment="1"/>
    <xf numFmtId="44" fontId="2" fillId="0" borderId="0" xfId="2" applyFont="1" applyBorder="1" applyAlignment="1"/>
    <xf numFmtId="44" fontId="2" fillId="4" borderId="0" xfId="0" applyNumberFormat="1" applyFont="1" applyFill="1" applyBorder="1" applyAlignment="1"/>
    <xf numFmtId="10" fontId="1" fillId="0" borderId="0" xfId="3" applyNumberFormat="1" applyAlignment="1"/>
    <xf numFmtId="173" fontId="1" fillId="0" borderId="0" xfId="1" applyNumberFormat="1" applyAlignment="1"/>
    <xf numFmtId="165" fontId="2" fillId="0" borderId="0" xfId="2" applyNumberFormat="1" applyFont="1" applyAlignment="1"/>
    <xf numFmtId="3" fontId="0" fillId="0" borderId="0" xfId="0" applyNumberFormat="1" applyAlignment="1"/>
    <xf numFmtId="1" fontId="0" fillId="0" borderId="0" xfId="0" applyNumberFormat="1" applyAlignment="1"/>
    <xf numFmtId="41" fontId="1" fillId="0" borderId="0" xfId="1" applyNumberFormat="1" applyAlignment="1"/>
    <xf numFmtId="165" fontId="1" fillId="0" borderId="0" xfId="2" applyNumberFormat="1" applyFont="1" applyFill="1" applyBorder="1" applyAlignment="1"/>
    <xf numFmtId="165" fontId="1" fillId="0" borderId="0" xfId="2" applyNumberFormat="1" applyFill="1" applyBorder="1" applyAlignment="1"/>
    <xf numFmtId="183" fontId="0" fillId="0" borderId="0" xfId="0" applyNumberFormat="1" applyBorder="1" applyAlignment="1"/>
    <xf numFmtId="165" fontId="2" fillId="0" borderId="0" xfId="2" applyNumberFormat="1" applyFont="1" applyFill="1" applyBorder="1" applyAlignment="1"/>
    <xf numFmtId="0" fontId="0" fillId="3" borderId="28" xfId="0" applyFill="1" applyBorder="1" applyAlignment="1"/>
    <xf numFmtId="0" fontId="0" fillId="4" borderId="0" xfId="0" applyFill="1" applyBorder="1" applyAlignment="1"/>
    <xf numFmtId="0" fontId="2" fillId="4" borderId="0" xfId="0" applyFont="1" applyFill="1" applyBorder="1" applyAlignment="1"/>
    <xf numFmtId="0" fontId="0" fillId="4" borderId="25" xfId="0" applyFill="1" applyBorder="1" applyAlignment="1"/>
    <xf numFmtId="44" fontId="0" fillId="0" borderId="0" xfId="0" applyNumberFormat="1" applyAlignment="1"/>
    <xf numFmtId="4" fontId="0" fillId="0" borderId="0" xfId="0" applyNumberFormat="1" applyAlignment="1"/>
    <xf numFmtId="0" fontId="2" fillId="0" borderId="26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552450</xdr:colOff>
          <xdr:row>0</xdr:row>
          <xdr:rowOff>0</xdr:rowOff>
        </xdr:from>
        <xdr:to>
          <xdr:col>1</xdr:col>
          <xdr:colOff>180975</xdr:colOff>
          <xdr:row>6</xdr:row>
          <xdr:rowOff>28575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581025</xdr:colOff>
          <xdr:row>0</xdr:row>
          <xdr:rowOff>19050</xdr:rowOff>
        </xdr:from>
        <xdr:to>
          <xdr:col>4</xdr:col>
          <xdr:colOff>1171575</xdr:colOff>
          <xdr:row>3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er%20Pricing%20Detail%20Oct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ron%20Statement%20Oct%2001%20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Independent Summary"/>
      <sheetName val="Independent Detail"/>
      <sheetName val="Kennedy Summary"/>
      <sheetName val="Box Draw Detail"/>
      <sheetName val="S Kitty Detail"/>
      <sheetName val="Internal Kennedy Total"/>
      <sheetName val="Kennedy Gas Daily Pricing"/>
      <sheetName val="MTG Summary"/>
      <sheetName val="MTG Detail"/>
      <sheetName val="Phillips Summary"/>
      <sheetName val="Phillips Detail"/>
      <sheetName val="Internal Phillips Combined"/>
      <sheetName val="Quantum Summary"/>
      <sheetName val="Quantum Detail"/>
      <sheetName val="Wellstar Summary"/>
      <sheetName val="Wellstar Detail"/>
      <sheetName val="North Finn Summary"/>
      <sheetName val="North Finn Detail"/>
      <sheetName val="Westport Summary"/>
      <sheetName val="Westport Detail"/>
      <sheetName val="Citation Summary"/>
      <sheetName val="Citation Detail"/>
      <sheetName val="Internal Xfer Summary"/>
    </sheetNames>
    <sheetDataSet>
      <sheetData sheetId="0">
        <row r="1">
          <cell r="A1">
            <v>37165</v>
          </cell>
        </row>
        <row r="3">
          <cell r="B3">
            <v>1.05</v>
          </cell>
          <cell r="F3">
            <v>6.7999999999999996E-3</v>
          </cell>
        </row>
        <row r="4">
          <cell r="B4">
            <v>1.7</v>
          </cell>
        </row>
        <row r="7">
          <cell r="A7">
            <v>37165</v>
          </cell>
          <cell r="B7">
            <v>1.32</v>
          </cell>
        </row>
        <row r="8">
          <cell r="A8">
            <v>37166</v>
          </cell>
          <cell r="B8">
            <v>1.35</v>
          </cell>
        </row>
        <row r="9">
          <cell r="A9">
            <v>37167</v>
          </cell>
          <cell r="B9">
            <v>1.32</v>
          </cell>
        </row>
        <row r="10">
          <cell r="A10">
            <v>37168</v>
          </cell>
          <cell r="B10">
            <v>1.57</v>
          </cell>
        </row>
        <row r="11">
          <cell r="A11">
            <v>37169</v>
          </cell>
          <cell r="B11">
            <v>1.6950000000000001</v>
          </cell>
        </row>
        <row r="12">
          <cell r="A12">
            <v>37170</v>
          </cell>
          <cell r="B12">
            <v>1.61</v>
          </cell>
        </row>
        <row r="13">
          <cell r="A13">
            <v>37171</v>
          </cell>
          <cell r="B13">
            <v>1.61</v>
          </cell>
        </row>
        <row r="14">
          <cell r="A14">
            <v>37172</v>
          </cell>
          <cell r="B14">
            <v>1.61</v>
          </cell>
        </row>
        <row r="15">
          <cell r="A15">
            <v>37173</v>
          </cell>
          <cell r="B15">
            <v>1.5249999999999999</v>
          </cell>
        </row>
        <row r="16">
          <cell r="A16">
            <v>37174</v>
          </cell>
          <cell r="B16">
            <v>1.46</v>
          </cell>
        </row>
        <row r="17">
          <cell r="A17">
            <v>37175</v>
          </cell>
          <cell r="B17">
            <v>1.73</v>
          </cell>
        </row>
        <row r="18">
          <cell r="A18">
            <v>37176</v>
          </cell>
          <cell r="B18">
            <v>2.0449999999999999</v>
          </cell>
        </row>
        <row r="19">
          <cell r="A19">
            <v>37177</v>
          </cell>
          <cell r="B19">
            <v>1.94</v>
          </cell>
        </row>
        <row r="20">
          <cell r="A20">
            <v>37178</v>
          </cell>
          <cell r="B20">
            <v>1.94</v>
          </cell>
        </row>
        <row r="21">
          <cell r="A21">
            <v>37179</v>
          </cell>
          <cell r="B21">
            <v>1.94</v>
          </cell>
        </row>
        <row r="22">
          <cell r="A22">
            <v>37180</v>
          </cell>
          <cell r="B22">
            <v>1.7849999999999999</v>
          </cell>
        </row>
        <row r="23">
          <cell r="A23">
            <v>37181</v>
          </cell>
          <cell r="B23">
            <v>1.84</v>
          </cell>
        </row>
        <row r="24">
          <cell r="A24">
            <v>37182</v>
          </cell>
          <cell r="B24">
            <v>2.2050000000000001</v>
          </cell>
        </row>
        <row r="25">
          <cell r="A25">
            <v>37183</v>
          </cell>
          <cell r="B25">
            <v>1.9950000000000001</v>
          </cell>
        </row>
        <row r="26">
          <cell r="A26">
            <v>37184</v>
          </cell>
          <cell r="B26">
            <v>1.81</v>
          </cell>
        </row>
        <row r="27">
          <cell r="A27">
            <v>37185</v>
          </cell>
          <cell r="B27">
            <v>1.81</v>
          </cell>
        </row>
        <row r="28">
          <cell r="A28">
            <v>37186</v>
          </cell>
          <cell r="B28">
            <v>1.81</v>
          </cell>
        </row>
        <row r="29">
          <cell r="A29">
            <v>37187</v>
          </cell>
          <cell r="B29">
            <v>2.2850000000000001</v>
          </cell>
        </row>
        <row r="30">
          <cell r="A30">
            <v>37188</v>
          </cell>
          <cell r="B30">
            <v>2.585</v>
          </cell>
        </row>
        <row r="31">
          <cell r="A31">
            <v>37189</v>
          </cell>
          <cell r="B31">
            <v>2.4049999999999998</v>
          </cell>
        </row>
        <row r="32">
          <cell r="A32">
            <v>37190</v>
          </cell>
          <cell r="B32">
            <v>2.8</v>
          </cell>
        </row>
        <row r="33">
          <cell r="A33">
            <v>37191</v>
          </cell>
          <cell r="B33">
            <v>2.38</v>
          </cell>
        </row>
        <row r="34">
          <cell r="A34">
            <v>37192</v>
          </cell>
          <cell r="B34">
            <v>2.38</v>
          </cell>
        </row>
        <row r="35">
          <cell r="A35">
            <v>37193</v>
          </cell>
          <cell r="B35">
            <v>2.38</v>
          </cell>
        </row>
        <row r="36">
          <cell r="A36">
            <v>37194</v>
          </cell>
          <cell r="B36">
            <v>2.65</v>
          </cell>
        </row>
        <row r="37">
          <cell r="B37">
            <v>2.64</v>
          </cell>
        </row>
      </sheetData>
      <sheetData sheetId="1">
        <row r="17">
          <cell r="A17" t="str">
            <v>10/01/01 - 10/31/01</v>
          </cell>
        </row>
      </sheetData>
      <sheetData sheetId="2"/>
      <sheetData sheetId="3"/>
      <sheetData sheetId="4"/>
      <sheetData sheetId="5"/>
      <sheetData sheetId="6">
        <row r="7">
          <cell r="C7">
            <v>21032</v>
          </cell>
          <cell r="H7">
            <v>0.31943014588094576</v>
          </cell>
        </row>
        <row r="8">
          <cell r="C8">
            <v>21893</v>
          </cell>
          <cell r="H8">
            <v>0.68056985411905424</v>
          </cell>
        </row>
        <row r="18">
          <cell r="M18">
            <v>11874</v>
          </cell>
          <cell r="T18">
            <v>0.10846356181339935</v>
          </cell>
          <cell r="U18">
            <v>0.30945381401825778</v>
          </cell>
          <cell r="V18">
            <v>0.12445200887100934</v>
          </cell>
          <cell r="W18">
            <v>3.8423848573933675E-2</v>
          </cell>
          <cell r="X18">
            <v>0.41920676672339985</v>
          </cell>
        </row>
        <row r="19">
          <cell r="M19">
            <v>12351</v>
          </cell>
          <cell r="T19">
            <v>0.10587791063561988</v>
          </cell>
          <cell r="U19">
            <v>0.30207677784770298</v>
          </cell>
          <cell r="V19">
            <v>0.12148521082441788</v>
          </cell>
          <cell r="W19">
            <v>3.7507866582756448E-2</v>
          </cell>
          <cell r="X19">
            <v>0.43305223410950283</v>
          </cell>
        </row>
        <row r="20">
          <cell r="M20">
            <v>12333</v>
          </cell>
          <cell r="T20">
            <v>0.15442229320409737</v>
          </cell>
          <cell r="U20">
            <v>0.44057715607445752</v>
          </cell>
          <cell r="V20">
            <v>0.17718544626794433</v>
          </cell>
          <cell r="W20">
            <v>5.4704996879245148E-2</v>
          </cell>
          <cell r="X20">
            <v>0.1731101075742556</v>
          </cell>
        </row>
        <row r="21">
          <cell r="M21">
            <v>12320</v>
          </cell>
          <cell r="T21">
            <v>0.11431522300437583</v>
          </cell>
          <cell r="U21">
            <v>0.32614899573288397</v>
          </cell>
          <cell r="V21">
            <v>0.13116625445057484</v>
          </cell>
          <cell r="W21">
            <v>4.0496833636833096E-2</v>
          </cell>
          <cell r="X21">
            <v>0.38787269317533224</v>
          </cell>
        </row>
        <row r="22">
          <cell r="M22">
            <v>12463</v>
          </cell>
          <cell r="T22">
            <v>0.10757308371058083</v>
          </cell>
          <cell r="U22">
            <v>0.30691322028696388</v>
          </cell>
          <cell r="V22">
            <v>0.12343026675874064</v>
          </cell>
          <cell r="W22">
            <v>3.8108391518964682E-2</v>
          </cell>
          <cell r="X22">
            <v>0.42397503772474998</v>
          </cell>
        </row>
        <row r="23">
          <cell r="M23">
            <v>12502</v>
          </cell>
          <cell r="T23">
            <v>0.10701200895583146</v>
          </cell>
          <cell r="U23">
            <v>0.3053124363932424</v>
          </cell>
          <cell r="V23">
            <v>0.122786484836149</v>
          </cell>
          <cell r="W23">
            <v>3.79096275188276E-2</v>
          </cell>
          <cell r="X23">
            <v>0.42697944229594953</v>
          </cell>
        </row>
        <row r="24">
          <cell r="M24">
            <v>12561</v>
          </cell>
          <cell r="T24">
            <v>0.10679192586009902</v>
          </cell>
          <cell r="U24">
            <v>0.3046845245651898</v>
          </cell>
          <cell r="V24">
            <v>0.1225339596293005</v>
          </cell>
          <cell r="W24">
            <v>3.7831661800177732E-2</v>
          </cell>
          <cell r="X24">
            <v>0.42815792814523296</v>
          </cell>
        </row>
        <row r="25">
          <cell r="M25">
            <v>12530</v>
          </cell>
          <cell r="T25">
            <v>0.10715377560379089</v>
          </cell>
          <cell r="U25">
            <v>0.30571690614490982</v>
          </cell>
          <cell r="V25">
            <v>0.12294914908794456</v>
          </cell>
          <cell r="W25">
            <v>3.7959849179659638E-2</v>
          </cell>
          <cell r="X25">
            <v>0.42622031998369508</v>
          </cell>
        </row>
        <row r="26">
          <cell r="M26">
            <v>11016</v>
          </cell>
          <cell r="T26">
            <v>0.11255017393631254</v>
          </cell>
          <cell r="U26">
            <v>0.3211131924003211</v>
          </cell>
          <cell r="V26">
            <v>0.12914102221032914</v>
          </cell>
          <cell r="W26">
            <v>3.9871554723039875E-2</v>
          </cell>
          <cell r="X26">
            <v>0.39732405672999732</v>
          </cell>
        </row>
        <row r="27">
          <cell r="M27">
            <v>12312</v>
          </cell>
          <cell r="T27">
            <v>0.10782403609515996</v>
          </cell>
          <cell r="U27">
            <v>0.30762920426579166</v>
          </cell>
          <cell r="V27">
            <v>0.12371821164889253</v>
          </cell>
          <cell r="W27">
            <v>3.8197292863002462E-2</v>
          </cell>
          <cell r="X27">
            <v>0.42263125512715338</v>
          </cell>
        </row>
        <row r="28">
          <cell r="M28">
            <v>11697</v>
          </cell>
          <cell r="T28">
            <v>0.10803174684714767</v>
          </cell>
          <cell r="U28">
            <v>0.30822181696761103</v>
          </cell>
          <cell r="V28">
            <v>0.12395654072380757</v>
          </cell>
          <cell r="W28">
            <v>3.8270875606811701E-2</v>
          </cell>
          <cell r="X28">
            <v>0.42151901985462203</v>
          </cell>
        </row>
        <row r="29">
          <cell r="M29">
            <v>11747</v>
          </cell>
          <cell r="T29">
            <v>0.10544524669073406</v>
          </cell>
          <cell r="U29">
            <v>0.30084235860409148</v>
          </cell>
          <cell r="V29">
            <v>0.12098876855194544</v>
          </cell>
          <cell r="W29">
            <v>3.7354592860008022E-2</v>
          </cell>
          <cell r="X29">
            <v>0.43536903329322102</v>
          </cell>
        </row>
        <row r="30">
          <cell r="M30">
            <v>8603</v>
          </cell>
          <cell r="T30">
            <v>0.12437531419108733</v>
          </cell>
          <cell r="U30">
            <v>0.35485111038826628</v>
          </cell>
          <cell r="V30">
            <v>0.14270928822781442</v>
          </cell>
          <cell r="W30">
            <v>5.5386344146435222E-2</v>
          </cell>
          <cell r="X30">
            <v>0.3226779430463968</v>
          </cell>
        </row>
        <row r="31">
          <cell r="M31">
            <v>11517</v>
          </cell>
          <cell r="T31">
            <v>0.10968263488669257</v>
          </cell>
          <cell r="U31">
            <v>0.31293191123164787</v>
          </cell>
          <cell r="V31">
            <v>0.12585078363366103</v>
          </cell>
          <cell r="W31">
            <v>4.8843455811406367E-2</v>
          </cell>
          <cell r="X31">
            <v>0.40269121443659217</v>
          </cell>
        </row>
        <row r="32">
          <cell r="M32">
            <v>12391</v>
          </cell>
          <cell r="T32">
            <v>0.10616386490988944</v>
          </cell>
          <cell r="U32">
            <v>0.30289262456459187</v>
          </cell>
          <cell r="V32">
            <v>0.12181331717906002</v>
          </cell>
          <cell r="W32">
            <v>4.7276490484123378E-2</v>
          </cell>
          <cell r="X32">
            <v>0.42185370286233531</v>
          </cell>
        </row>
        <row r="33">
          <cell r="M33">
            <v>12617</v>
          </cell>
          <cell r="T33">
            <v>0.10700111936501476</v>
          </cell>
          <cell r="U33">
            <v>0.3052813676605271</v>
          </cell>
          <cell r="V33">
            <v>0.12277399002747533</v>
          </cell>
          <cell r="W33">
            <v>4.7649333469013941E-2</v>
          </cell>
          <cell r="X33">
            <v>0.41729418947796887</v>
          </cell>
        </row>
        <row r="34">
          <cell r="M34">
            <v>12586</v>
          </cell>
          <cell r="T34">
            <v>0.10790148794253464</v>
          </cell>
          <cell r="U34">
            <v>0.30785017957927141</v>
          </cell>
          <cell r="V34">
            <v>0.12380708055413032</v>
          </cell>
          <cell r="W34">
            <v>4.8050282195997947E-2</v>
          </cell>
          <cell r="X34">
            <v>0.41239096972806566</v>
          </cell>
        </row>
        <row r="35">
          <cell r="M35">
            <v>12893</v>
          </cell>
          <cell r="T35">
            <v>0.10848314461840035</v>
          </cell>
          <cell r="U35">
            <v>0.30950968507389542</v>
          </cell>
          <cell r="V35">
            <v>0.12447447834721828</v>
          </cell>
          <cell r="W35">
            <v>4.8309303345283848E-2</v>
          </cell>
          <cell r="X35">
            <v>0.40922338861520208</v>
          </cell>
        </row>
        <row r="36">
          <cell r="M36">
            <v>12703</v>
          </cell>
          <cell r="T36">
            <v>0.10257035555772326</v>
          </cell>
          <cell r="U36">
            <v>0.2926401014485685</v>
          </cell>
          <cell r="V36">
            <v>0.11769009413256597</v>
          </cell>
          <cell r="W36">
            <v>4.5676242501097399E-2</v>
          </cell>
          <cell r="X36">
            <v>0.4414232063600449</v>
          </cell>
        </row>
        <row r="37">
          <cell r="M37">
            <v>10384</v>
          </cell>
          <cell r="T37">
            <v>0.10945713839587778</v>
          </cell>
          <cell r="U37">
            <v>0.31228855462447302</v>
          </cell>
          <cell r="V37">
            <v>0.12559204705147556</v>
          </cell>
          <cell r="W37">
            <v>4.8743038567636496E-2</v>
          </cell>
          <cell r="X37">
            <v>0.40391922136053715</v>
          </cell>
        </row>
        <row r="38">
          <cell r="M38">
            <v>9452</v>
          </cell>
          <cell r="T38">
            <v>0.11305539875816466</v>
          </cell>
          <cell r="U38">
            <v>0.322554632690912</v>
          </cell>
          <cell r="V38">
            <v>0.12972072144719513</v>
          </cell>
          <cell r="W38">
            <v>5.034540225250652E-2</v>
          </cell>
          <cell r="X38">
            <v>0.38432384485122167</v>
          </cell>
        </row>
        <row r="39">
          <cell r="M39">
            <v>12659</v>
          </cell>
          <cell r="T39">
            <v>0.10831831058459954</v>
          </cell>
          <cell r="U39">
            <v>0.30903940252382178</v>
          </cell>
          <cell r="V39">
            <v>0.12428534638166366</v>
          </cell>
          <cell r="W39">
            <v>4.823590007725985E-2</v>
          </cell>
          <cell r="X39">
            <v>0.41012104043265518</v>
          </cell>
        </row>
        <row r="40">
          <cell r="M40">
            <v>12038</v>
          </cell>
          <cell r="T40">
            <v>0.10979716500900619</v>
          </cell>
          <cell r="U40">
            <v>0.31325867334951835</v>
          </cell>
          <cell r="V40">
            <v>0.12598219646539796</v>
          </cell>
          <cell r="W40">
            <v>5.7561281227974E-2</v>
          </cell>
          <cell r="X40">
            <v>0.39340068394810346</v>
          </cell>
        </row>
        <row r="41">
          <cell r="M41">
            <v>12570</v>
          </cell>
          <cell r="T41">
            <v>0.14102736051502146</v>
          </cell>
          <cell r="U41">
            <v>0.40236051502145925</v>
          </cell>
          <cell r="V41">
            <v>0.16181598712446352</v>
          </cell>
          <cell r="W41">
            <v>7.393374463519313E-2</v>
          </cell>
          <cell r="X41">
            <v>0.22086239270386265</v>
          </cell>
        </row>
        <row r="42">
          <cell r="M42">
            <v>11942</v>
          </cell>
          <cell r="T42">
            <v>0.12159583694709454</v>
          </cell>
          <cell r="U42">
            <v>0.3469210754553339</v>
          </cell>
          <cell r="V42">
            <v>0.13952009251228678</v>
          </cell>
          <cell r="W42">
            <v>6.3746747614917609E-2</v>
          </cell>
          <cell r="X42">
            <v>0.32821624747036715</v>
          </cell>
        </row>
        <row r="43">
          <cell r="M43">
            <v>12691</v>
          </cell>
          <cell r="T43">
            <v>0.10530005257491926</v>
          </cell>
          <cell r="U43">
            <v>0.30042811005683101</v>
          </cell>
          <cell r="V43">
            <v>0.12082217159452219</v>
          </cell>
          <cell r="W43">
            <v>5.5203665222942691E-2</v>
          </cell>
          <cell r="X43">
            <v>0.41824600055078487</v>
          </cell>
        </row>
        <row r="44">
          <cell r="M44">
            <v>12654</v>
          </cell>
          <cell r="T44">
            <v>0.10747412801839785</v>
          </cell>
          <cell r="U44">
            <v>0.30663089306247604</v>
          </cell>
          <cell r="V44">
            <v>0.12331672415995912</v>
          </cell>
          <cell r="W44">
            <v>5.6343426600229972E-2</v>
          </cell>
          <cell r="X44">
            <v>0.40623482815893702</v>
          </cell>
        </row>
        <row r="45">
          <cell r="M45">
            <v>12821</v>
          </cell>
          <cell r="T45">
            <v>0.10460604854755273</v>
          </cell>
          <cell r="U45">
            <v>0.29844807003581375</v>
          </cell>
          <cell r="V45">
            <v>0.1200258654994031</v>
          </cell>
          <cell r="W45">
            <v>5.4839832869080778E-2</v>
          </cell>
          <cell r="X45">
            <v>0.42208018304814965</v>
          </cell>
        </row>
        <row r="46">
          <cell r="M46">
            <v>12738</v>
          </cell>
          <cell r="T46">
            <v>0.10525788933656999</v>
          </cell>
          <cell r="U46">
            <v>0.30030781551089869</v>
          </cell>
          <cell r="V46">
            <v>0.12077379313796642</v>
          </cell>
          <cell r="W46">
            <v>5.5181561100127632E-2</v>
          </cell>
          <cell r="X46">
            <v>0.41847894091443733</v>
          </cell>
        </row>
        <row r="47">
          <cell r="M47">
            <v>12081</v>
          </cell>
          <cell r="T47">
            <v>0.13651854977441658</v>
          </cell>
          <cell r="U47">
            <v>0.38949657567593887</v>
          </cell>
          <cell r="V47">
            <v>0.1566425395176734</v>
          </cell>
          <cell r="W47">
            <v>8.34171832905969E-2</v>
          </cell>
          <cell r="X47">
            <v>0.23392515174137427</v>
          </cell>
        </row>
        <row r="48">
          <cell r="M48">
            <v>12839</v>
          </cell>
          <cell r="T48">
            <v>0.1089016622650303</v>
          </cell>
          <cell r="U48">
            <v>0.31070374398011497</v>
          </cell>
          <cell r="V48">
            <v>0.12495468903733624</v>
          </cell>
          <cell r="W48">
            <v>7.2730568070011908E-2</v>
          </cell>
          <cell r="X48">
            <v>0.38270933664750661</v>
          </cell>
        </row>
        <row r="49">
          <cell r="M49">
            <v>373885</v>
          </cell>
          <cell r="N49">
            <v>796590</v>
          </cell>
        </row>
      </sheetData>
      <sheetData sheetId="7">
        <row r="7">
          <cell r="B7">
            <v>-0.15</v>
          </cell>
        </row>
        <row r="8">
          <cell r="B8">
            <v>-0.1</v>
          </cell>
        </row>
        <row r="9">
          <cell r="B9">
            <v>-0.08</v>
          </cell>
        </row>
        <row r="10">
          <cell r="B10">
            <v>-0.08</v>
          </cell>
        </row>
        <row r="11">
          <cell r="B11">
            <v>-0.08</v>
          </cell>
        </row>
        <row r="12">
          <cell r="B12">
            <v>-0.12</v>
          </cell>
        </row>
        <row r="13">
          <cell r="B13">
            <v>-0.12</v>
          </cell>
        </row>
        <row r="14">
          <cell r="B14">
            <v>-0.12</v>
          </cell>
        </row>
        <row r="15">
          <cell r="B15">
            <v>-0.1</v>
          </cell>
        </row>
        <row r="16">
          <cell r="B16">
            <v>-0.1</v>
          </cell>
        </row>
        <row r="17">
          <cell r="B17">
            <v>-0.08</v>
          </cell>
        </row>
        <row r="18">
          <cell r="B18">
            <v>-0.08</v>
          </cell>
        </row>
        <row r="19">
          <cell r="B19">
            <v>-0.08</v>
          </cell>
        </row>
        <row r="20">
          <cell r="B20">
            <v>-0.08</v>
          </cell>
        </row>
        <row r="21">
          <cell r="B21">
            <v>-0.08</v>
          </cell>
        </row>
        <row r="22">
          <cell r="B22">
            <v>-0.08</v>
          </cell>
        </row>
        <row r="23">
          <cell r="B23">
            <v>-0.08</v>
          </cell>
        </row>
        <row r="24">
          <cell r="B24">
            <v>-0.08</v>
          </cell>
        </row>
        <row r="25">
          <cell r="B25">
            <v>-0.08</v>
          </cell>
        </row>
        <row r="26">
          <cell r="B26">
            <v>-0.08</v>
          </cell>
        </row>
        <row r="27">
          <cell r="B27">
            <v>-0.08</v>
          </cell>
        </row>
        <row r="28">
          <cell r="B28">
            <v>-0.08</v>
          </cell>
        </row>
        <row r="29">
          <cell r="B29">
            <v>-0.06</v>
          </cell>
        </row>
        <row r="30">
          <cell r="B30">
            <v>-0.06</v>
          </cell>
        </row>
        <row r="31">
          <cell r="B31">
            <v>-0.06</v>
          </cell>
        </row>
        <row r="32">
          <cell r="B32">
            <v>-0.12</v>
          </cell>
        </row>
        <row r="33">
          <cell r="B33">
            <v>-0.12</v>
          </cell>
        </row>
        <row r="34">
          <cell r="B34">
            <v>-0.12</v>
          </cell>
        </row>
        <row r="35">
          <cell r="B35">
            <v>-0.12</v>
          </cell>
        </row>
        <row r="36">
          <cell r="B36">
            <v>-0.12</v>
          </cell>
        </row>
        <row r="37">
          <cell r="B37">
            <v>-0.12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ron Detail"/>
      <sheetName val="Enron Summary"/>
      <sheetName val="Enron Imbalance"/>
      <sheetName val="Enron Fuel Sale"/>
      <sheetName val="Citation Oct 01"/>
    </sheetNames>
    <sheetDataSet>
      <sheetData sheetId="0">
        <row r="9">
          <cell r="C9">
            <v>0.95551770493880162</v>
          </cell>
          <cell r="F9">
            <v>0.95527378927009843</v>
          </cell>
        </row>
        <row r="14">
          <cell r="C14">
            <v>13160</v>
          </cell>
          <cell r="D14">
            <v>-1286</v>
          </cell>
          <cell r="F14">
            <v>29427</v>
          </cell>
          <cell r="G14">
            <v>-2523</v>
          </cell>
        </row>
        <row r="15">
          <cell r="C15">
            <v>13384</v>
          </cell>
          <cell r="D15">
            <v>-1033</v>
          </cell>
          <cell r="F15">
            <v>29351</v>
          </cell>
          <cell r="G15">
            <v>-1977</v>
          </cell>
        </row>
        <row r="16">
          <cell r="C16">
            <v>13486</v>
          </cell>
          <cell r="D16">
            <v>-1153</v>
          </cell>
          <cell r="F16">
            <v>16390</v>
          </cell>
          <cell r="G16">
            <v>-1486</v>
          </cell>
        </row>
        <row r="17">
          <cell r="C17">
            <v>13449</v>
          </cell>
          <cell r="D17">
            <v>-1129</v>
          </cell>
          <cell r="F17">
            <v>26594</v>
          </cell>
          <cell r="G17">
            <v>-2121</v>
          </cell>
        </row>
        <row r="18">
          <cell r="C18">
            <v>13546</v>
          </cell>
          <cell r="D18">
            <v>-1083</v>
          </cell>
          <cell r="F18">
            <v>28754</v>
          </cell>
          <cell r="G18">
            <v>-2118</v>
          </cell>
        </row>
        <row r="19">
          <cell r="C19">
            <v>13631</v>
          </cell>
          <cell r="D19">
            <v>-1129</v>
          </cell>
          <cell r="F19">
            <v>29010</v>
          </cell>
          <cell r="G19">
            <v>-2208</v>
          </cell>
        </row>
        <row r="20">
          <cell r="C20">
            <v>13682</v>
          </cell>
          <cell r="D20">
            <v>-1121</v>
          </cell>
          <cell r="F20">
            <v>29039</v>
          </cell>
          <cell r="G20">
            <v>-2215</v>
          </cell>
        </row>
        <row r="21">
          <cell r="C21">
            <v>13579</v>
          </cell>
          <cell r="D21">
            <v>-1049</v>
          </cell>
          <cell r="F21">
            <v>28726</v>
          </cell>
          <cell r="G21">
            <v>-2004</v>
          </cell>
        </row>
        <row r="22">
          <cell r="C22">
            <v>12132</v>
          </cell>
          <cell r="D22">
            <v>-1116</v>
          </cell>
          <cell r="F22">
            <v>28893</v>
          </cell>
          <cell r="G22">
            <v>-2539</v>
          </cell>
        </row>
        <row r="23">
          <cell r="C23">
            <v>13436</v>
          </cell>
          <cell r="D23">
            <v>-1124</v>
          </cell>
          <cell r="F23">
            <v>28868</v>
          </cell>
          <cell r="G23">
            <v>-2172</v>
          </cell>
        </row>
        <row r="24">
          <cell r="C24">
            <v>12704</v>
          </cell>
          <cell r="D24">
            <v>-1007</v>
          </cell>
          <cell r="F24">
            <v>29349</v>
          </cell>
          <cell r="G24">
            <v>-2113</v>
          </cell>
        </row>
        <row r="25">
          <cell r="C25">
            <v>12811</v>
          </cell>
          <cell r="D25">
            <v>-1064</v>
          </cell>
          <cell r="F25">
            <v>30341</v>
          </cell>
          <cell r="G25">
            <v>-2200</v>
          </cell>
        </row>
        <row r="26">
          <cell r="C26">
            <v>9513</v>
          </cell>
          <cell r="D26">
            <v>-910</v>
          </cell>
          <cell r="F26">
            <v>27107</v>
          </cell>
          <cell r="G26">
            <v>-1893</v>
          </cell>
        </row>
        <row r="27">
          <cell r="C27">
            <v>12532</v>
          </cell>
          <cell r="D27">
            <v>-1015</v>
          </cell>
          <cell r="F27">
            <v>29172</v>
          </cell>
          <cell r="G27">
            <v>-2342</v>
          </cell>
        </row>
        <row r="28">
          <cell r="C28">
            <v>13294</v>
          </cell>
          <cell r="D28">
            <v>-903</v>
          </cell>
          <cell r="F28">
            <v>29258</v>
          </cell>
          <cell r="G28">
            <v>-2031</v>
          </cell>
        </row>
        <row r="29">
          <cell r="C29">
            <v>13674</v>
          </cell>
          <cell r="D29">
            <v>-1057</v>
          </cell>
          <cell r="F29">
            <v>28851</v>
          </cell>
          <cell r="G29">
            <v>-2160</v>
          </cell>
        </row>
        <row r="30">
          <cell r="C30">
            <v>13671</v>
          </cell>
          <cell r="D30">
            <v>-1085</v>
          </cell>
          <cell r="F30">
            <v>28550</v>
          </cell>
          <cell r="G30">
            <v>-2156</v>
          </cell>
        </row>
        <row r="31">
          <cell r="C31">
            <v>13957</v>
          </cell>
          <cell r="D31">
            <v>-1064</v>
          </cell>
          <cell r="F31">
            <v>28064</v>
          </cell>
          <cell r="G31">
            <v>-2186</v>
          </cell>
        </row>
        <row r="32">
          <cell r="C32">
            <v>13718</v>
          </cell>
          <cell r="D32">
            <v>-1015</v>
          </cell>
          <cell r="F32">
            <v>30366</v>
          </cell>
          <cell r="G32">
            <v>-2063</v>
          </cell>
        </row>
        <row r="33">
          <cell r="C33">
            <v>11385</v>
          </cell>
          <cell r="D33">
            <v>-1001</v>
          </cell>
          <cell r="F33">
            <v>29952</v>
          </cell>
          <cell r="G33">
            <v>-1910</v>
          </cell>
        </row>
        <row r="34">
          <cell r="C34">
            <v>10301</v>
          </cell>
          <cell r="D34">
            <v>-849</v>
          </cell>
          <cell r="F34">
            <v>29621</v>
          </cell>
          <cell r="G34">
            <v>-1870</v>
          </cell>
        </row>
        <row r="35">
          <cell r="C35">
            <v>13761</v>
          </cell>
          <cell r="D35">
            <v>-1102</v>
          </cell>
          <cell r="F35">
            <v>28261</v>
          </cell>
          <cell r="G35">
            <v>-2090</v>
          </cell>
        </row>
        <row r="36">
          <cell r="C36">
            <v>13189</v>
          </cell>
          <cell r="D36">
            <v>-1151</v>
          </cell>
          <cell r="F36">
            <v>28575</v>
          </cell>
          <cell r="G36">
            <v>-2306</v>
          </cell>
        </row>
        <row r="37">
          <cell r="C37">
            <v>13328</v>
          </cell>
          <cell r="D37">
            <v>-758</v>
          </cell>
          <cell r="F37">
            <v>18735</v>
          </cell>
          <cell r="G37">
            <v>-1481</v>
          </cell>
        </row>
        <row r="38">
          <cell r="C38">
            <v>13568</v>
          </cell>
          <cell r="D38">
            <v>-1626</v>
          </cell>
          <cell r="F38">
            <v>25823</v>
          </cell>
          <cell r="G38">
            <v>-3175</v>
          </cell>
        </row>
        <row r="39">
          <cell r="C39">
            <v>13721</v>
          </cell>
          <cell r="D39">
            <v>-1030</v>
          </cell>
          <cell r="F39">
            <v>29409</v>
          </cell>
          <cell r="G39">
            <v>-2157</v>
          </cell>
        </row>
        <row r="40">
          <cell r="C40">
            <v>13766</v>
          </cell>
          <cell r="D40">
            <v>-1112</v>
          </cell>
          <cell r="F40">
            <v>28536</v>
          </cell>
          <cell r="G40">
            <v>-2055</v>
          </cell>
        </row>
        <row r="41">
          <cell r="C41">
            <v>13878</v>
          </cell>
          <cell r="D41">
            <v>-1057</v>
          </cell>
          <cell r="F41">
            <v>29352</v>
          </cell>
          <cell r="G41">
            <v>-1965</v>
          </cell>
        </row>
        <row r="42">
          <cell r="C42">
            <v>13825</v>
          </cell>
          <cell r="D42">
            <v>-1087</v>
          </cell>
          <cell r="F42">
            <v>29129</v>
          </cell>
          <cell r="G42">
            <v>-1908</v>
          </cell>
        </row>
        <row r="43">
          <cell r="C43">
            <v>13290</v>
          </cell>
          <cell r="D43">
            <v>-1209</v>
          </cell>
          <cell r="F43">
            <v>20805</v>
          </cell>
          <cell r="G43">
            <v>-2077</v>
          </cell>
        </row>
        <row r="44">
          <cell r="C44">
            <v>13906</v>
          </cell>
          <cell r="D44">
            <v>-1067</v>
          </cell>
          <cell r="F44">
            <v>27583</v>
          </cell>
          <cell r="G44">
            <v>-1800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zoomScale="75" workbookViewId="0">
      <selection activeCell="B40" sqref="B40"/>
    </sheetView>
  </sheetViews>
  <sheetFormatPr defaultRowHeight="12.75" x14ac:dyDescent="0.2"/>
  <cols>
    <col min="1" max="1" width="22.140625" customWidth="1"/>
    <col min="2" max="2" width="41.42578125" bestFit="1" customWidth="1"/>
    <col min="3" max="3" width="36.28515625" bestFit="1" customWidth="1"/>
    <col min="4" max="4" width="19.5703125" bestFit="1" customWidth="1"/>
    <col min="5" max="5" width="20.5703125" bestFit="1" customWidth="1"/>
    <col min="6" max="6" width="33" customWidth="1"/>
    <col min="7" max="7" width="29.42578125" customWidth="1"/>
    <col min="8" max="8" width="14" bestFit="1" customWidth="1"/>
  </cols>
  <sheetData>
    <row r="1" spans="1:8" x14ac:dyDescent="0.2">
      <c r="C1" s="1" t="s">
        <v>0</v>
      </c>
      <c r="D1" s="2"/>
      <c r="E1" s="2"/>
      <c r="F1" s="3" t="s">
        <v>1</v>
      </c>
      <c r="G1" s="4"/>
    </row>
    <row r="2" spans="1:8" x14ac:dyDescent="0.2">
      <c r="C2" s="5"/>
      <c r="D2" s="6"/>
      <c r="E2" s="6"/>
      <c r="F2" s="7"/>
      <c r="G2" s="8" t="s">
        <v>2</v>
      </c>
    </row>
    <row r="3" spans="1:8" x14ac:dyDescent="0.2">
      <c r="C3" s="5" t="s">
        <v>3</v>
      </c>
      <c r="D3" s="6"/>
      <c r="E3" s="6"/>
      <c r="F3" s="7" t="s">
        <v>4</v>
      </c>
      <c r="G3" s="9">
        <f ca="1">TODAY()</f>
        <v>41887</v>
      </c>
    </row>
    <row r="4" spans="1:8" x14ac:dyDescent="0.2">
      <c r="C4" s="5"/>
      <c r="D4" s="6"/>
      <c r="E4" s="6"/>
      <c r="F4" s="7" t="s">
        <v>5</v>
      </c>
      <c r="G4" s="7"/>
    </row>
    <row r="5" spans="1:8" x14ac:dyDescent="0.2">
      <c r="C5" s="5"/>
      <c r="D5" s="6"/>
      <c r="E5" s="6"/>
      <c r="F5" s="7" t="s">
        <v>6</v>
      </c>
      <c r="G5" s="8" t="s">
        <v>7</v>
      </c>
    </row>
    <row r="6" spans="1:8" x14ac:dyDescent="0.2">
      <c r="C6" s="5"/>
      <c r="D6" s="6"/>
      <c r="E6" s="6"/>
      <c r="F6" s="7" t="s">
        <v>8</v>
      </c>
      <c r="G6" s="10">
        <v>37195</v>
      </c>
    </row>
    <row r="7" spans="1:8" x14ac:dyDescent="0.2">
      <c r="C7" s="5"/>
      <c r="D7" s="6"/>
      <c r="E7" s="6"/>
      <c r="F7" s="7"/>
      <c r="G7" s="7"/>
    </row>
    <row r="8" spans="1:8" x14ac:dyDescent="0.2">
      <c r="C8" s="5"/>
      <c r="D8" s="6"/>
      <c r="E8" s="6"/>
      <c r="F8" s="7"/>
      <c r="G8" s="8" t="s">
        <v>9</v>
      </c>
    </row>
    <row r="9" spans="1:8" x14ac:dyDescent="0.2">
      <c r="C9" s="5" t="s">
        <v>10</v>
      </c>
      <c r="D9" s="6"/>
      <c r="E9" s="6"/>
      <c r="F9" s="7" t="s">
        <v>11</v>
      </c>
      <c r="G9" s="11" t="s">
        <v>12</v>
      </c>
    </row>
    <row r="10" spans="1:8" x14ac:dyDescent="0.2">
      <c r="C10" s="5" t="s">
        <v>13</v>
      </c>
      <c r="D10" s="6"/>
      <c r="E10" s="6"/>
      <c r="F10" s="7" t="s">
        <v>14</v>
      </c>
      <c r="G10" s="8" t="s">
        <v>15</v>
      </c>
    </row>
    <row r="11" spans="1:8" x14ac:dyDescent="0.2">
      <c r="A11" s="12" t="s">
        <v>3</v>
      </c>
      <c r="B11" s="13"/>
      <c r="C11" s="14" t="s">
        <v>16</v>
      </c>
      <c r="D11" s="15"/>
      <c r="E11" s="15"/>
      <c r="F11" s="16" t="s">
        <v>17</v>
      </c>
      <c r="G11" s="17" t="s">
        <v>18</v>
      </c>
    </row>
    <row r="12" spans="1:8" ht="13.5" thickBot="1" x14ac:dyDescent="0.25">
      <c r="A12" s="18">
        <f ca="1">NOW()</f>
        <v>41887.550705671296</v>
      </c>
      <c r="B12" s="19"/>
      <c r="C12" s="19"/>
      <c r="D12" s="19"/>
      <c r="E12" s="19"/>
      <c r="F12" s="19"/>
      <c r="G12" s="19"/>
      <c r="H12" s="20"/>
    </row>
    <row r="13" spans="1:8" x14ac:dyDescent="0.2">
      <c r="A13" s="21" t="s">
        <v>19</v>
      </c>
      <c r="B13" s="21" t="s">
        <v>20</v>
      </c>
      <c r="C13" s="21" t="s">
        <v>21</v>
      </c>
      <c r="D13" s="21"/>
      <c r="E13" s="21"/>
    </row>
    <row r="14" spans="1:8" x14ac:dyDescent="0.2">
      <c r="A14" s="21"/>
      <c r="B14" s="21"/>
      <c r="C14" s="21"/>
      <c r="D14" s="21"/>
      <c r="E14" s="21" t="s">
        <v>22</v>
      </c>
      <c r="F14" s="21" t="s">
        <v>23</v>
      </c>
    </row>
    <row r="15" spans="1:8" x14ac:dyDescent="0.2">
      <c r="A15" s="22">
        <v>37073</v>
      </c>
      <c r="B15" s="23">
        <v>96023720</v>
      </c>
      <c r="C15" t="s">
        <v>24</v>
      </c>
      <c r="D15" s="24"/>
      <c r="E15" s="25">
        <f>'[1]Internal Kennedy Total'!M49</f>
        <v>373885</v>
      </c>
      <c r="F15" s="26">
        <f>SUM(G22:G26)/SUM(F22:F26)</f>
        <v>1.62948020071894</v>
      </c>
    </row>
    <row r="16" spans="1:8" x14ac:dyDescent="0.2">
      <c r="A16" s="27"/>
      <c r="B16" s="23"/>
      <c r="C16" t="s">
        <v>25</v>
      </c>
      <c r="D16" s="24"/>
      <c r="E16" s="25">
        <f>'[1]Internal Kennedy Total'!N49</f>
        <v>796590</v>
      </c>
      <c r="F16" s="26">
        <f>SUM(G27:G31)/SUM(F27:F31)</f>
        <v>1.6243866477789064</v>
      </c>
    </row>
    <row r="17" spans="1:7" x14ac:dyDescent="0.2">
      <c r="E17" s="28"/>
      <c r="F17" s="29"/>
    </row>
    <row r="18" spans="1:7" x14ac:dyDescent="0.2">
      <c r="C18" s="30" t="s">
        <v>26</v>
      </c>
      <c r="E18" s="31">
        <f>SUM(E15:E17)</f>
        <v>1170475</v>
      </c>
    </row>
    <row r="19" spans="1:7" x14ac:dyDescent="0.2">
      <c r="E19" s="31"/>
    </row>
    <row r="21" spans="1:7" x14ac:dyDescent="0.2">
      <c r="B21" s="32" t="s">
        <v>27</v>
      </c>
      <c r="C21" s="33" t="s">
        <v>28</v>
      </c>
      <c r="D21" s="34" t="s">
        <v>29</v>
      </c>
      <c r="E21" s="35" t="s">
        <v>30</v>
      </c>
      <c r="F21" s="35" t="s">
        <v>31</v>
      </c>
      <c r="G21" s="34" t="s">
        <v>32</v>
      </c>
    </row>
    <row r="22" spans="1:7" x14ac:dyDescent="0.2">
      <c r="A22" s="36" t="str">
        <f>'[1]Independent Summary'!A17</f>
        <v>10/01/01 - 10/31/01</v>
      </c>
      <c r="B22" t="s">
        <v>33</v>
      </c>
      <c r="C22" s="37">
        <f>+'Box Draw Detail'!K16</f>
        <v>0</v>
      </c>
      <c r="D22" s="38">
        <f t="shared" ref="D22:D31" si="0">+G22/F22</f>
        <v>1.9583490235474681</v>
      </c>
      <c r="E22" s="39">
        <f>+F22/'Box Draw Detail'!B$12</f>
        <v>43900.631867261764</v>
      </c>
      <c r="F22" s="39">
        <f>+'Box Draw Detail'!D57</f>
        <v>41947.831007169174</v>
      </c>
      <c r="G22" s="40">
        <f>+'Box Draw Detail'!P57</f>
        <v>82148.493892823957</v>
      </c>
    </row>
    <row r="23" spans="1:7" x14ac:dyDescent="0.2">
      <c r="A23" t="str">
        <f t="shared" ref="A23:A33" si="1">+A22</f>
        <v>10/01/01 - 10/31/01</v>
      </c>
      <c r="B23" t="s">
        <v>34</v>
      </c>
      <c r="C23" s="37">
        <f>+'Box Draw Detail'!K17</f>
        <v>-0.25440000000000002</v>
      </c>
      <c r="D23" s="38">
        <f t="shared" si="0"/>
        <v>1.4456</v>
      </c>
      <c r="E23" s="39">
        <f>+F23/'Box Draw Detail'!$B$12</f>
        <v>125251.44612628178</v>
      </c>
      <c r="F23" s="39">
        <f>+'Box Draw Detail'!F57</f>
        <v>119679.97434285072</v>
      </c>
      <c r="G23" s="40">
        <f>+'Box Draw Detail'!Q57</f>
        <v>173009.370910025</v>
      </c>
    </row>
    <row r="24" spans="1:7" x14ac:dyDescent="0.2">
      <c r="A24" t="str">
        <f t="shared" si="1"/>
        <v>10/01/01 - 10/31/01</v>
      </c>
      <c r="B24" t="s">
        <v>35</v>
      </c>
      <c r="C24" s="37">
        <f>+'Box Draw Detail'!K18</f>
        <v>0</v>
      </c>
      <c r="D24" s="38">
        <f t="shared" si="0"/>
        <v>1.05</v>
      </c>
      <c r="E24" s="39">
        <f>+F24/'Box Draw Detail'!$B$11</f>
        <v>50384.81835138848</v>
      </c>
      <c r="F24" s="39">
        <f>+'Box Draw Detail'!H57</f>
        <v>48131.296348216463</v>
      </c>
      <c r="G24" s="40">
        <f>+'Box Draw Detail'!R57</f>
        <v>50537.861165627291</v>
      </c>
    </row>
    <row r="25" spans="1:7" x14ac:dyDescent="0.2">
      <c r="A25" t="str">
        <f t="shared" si="1"/>
        <v>10/01/01 - 10/31/01</v>
      </c>
      <c r="B25" t="s">
        <v>36</v>
      </c>
      <c r="C25" s="37">
        <f>+'Box Draw Detail'!K20</f>
        <v>-0.15709999999999999</v>
      </c>
      <c r="D25" s="38">
        <f t="shared" si="0"/>
        <v>1.8761748262556477</v>
      </c>
      <c r="E25" s="39">
        <f>+F25/'Box Draw Detail'!$B$11</f>
        <v>19428.914387357687</v>
      </c>
      <c r="F25" s="39">
        <f>+'Box Draw Detail'!J57</f>
        <v>18559.932668215512</v>
      </c>
      <c r="G25" s="40">
        <f>+'Box Draw Detail'!S57</f>
        <v>34821.678449105755</v>
      </c>
    </row>
    <row r="26" spans="1:7" x14ac:dyDescent="0.2">
      <c r="A26" s="41" t="str">
        <f t="shared" si="1"/>
        <v>10/01/01 - 10/31/01</v>
      </c>
      <c r="B26" s="42" t="s">
        <v>37</v>
      </c>
      <c r="C26" s="43">
        <f>+'Box Draw Detail'!K19</f>
        <v>0</v>
      </c>
      <c r="D26" s="44">
        <f t="shared" si="0"/>
        <v>1.8460414098767024</v>
      </c>
      <c r="E26" s="45">
        <f>+F26/'Box Draw Detail'!$B$11</f>
        <v>152381.40862712418</v>
      </c>
      <c r="F26" s="45">
        <f>+'Box Draw Detail'!L57</f>
        <v>145565.96563354818</v>
      </c>
      <c r="G26" s="46">
        <f>+'Box Draw Detail'!T57</f>
        <v>268720.80042821891</v>
      </c>
    </row>
    <row r="27" spans="1:7" x14ac:dyDescent="0.2">
      <c r="A27" t="str">
        <f t="shared" si="1"/>
        <v>10/01/01 - 10/31/01</v>
      </c>
      <c r="B27" t="s">
        <v>38</v>
      </c>
      <c r="C27" s="37">
        <f>+'S Kitty Detail'!K16</f>
        <v>0</v>
      </c>
      <c r="D27" s="38">
        <f t="shared" si="0"/>
        <v>1.9448509401084386</v>
      </c>
      <c r="E27" s="39">
        <f>+F27/'Box Draw Detail'!$B$11</f>
        <v>92578.871090354427</v>
      </c>
      <c r="F27" s="39">
        <f>+'S Kitty Detail'!D57</f>
        <v>88438.168992830848</v>
      </c>
      <c r="G27" s="40">
        <f>+'S Kitty Detail'!P57</f>
        <v>171999.05610717603</v>
      </c>
    </row>
    <row r="28" spans="1:7" x14ac:dyDescent="0.2">
      <c r="A28" t="str">
        <f t="shared" si="1"/>
        <v>10/01/01 - 10/31/01</v>
      </c>
      <c r="B28" t="s">
        <v>39</v>
      </c>
      <c r="C28" s="37">
        <f>+'S Kitty Detail'!K17</f>
        <v>-0.25440000000000002</v>
      </c>
      <c r="D28" s="38">
        <f t="shared" si="0"/>
        <v>1.4455999999999996</v>
      </c>
      <c r="E28" s="39">
        <f>+F28/'Box Draw Detail'!$B$11</f>
        <v>264133.72636335075</v>
      </c>
      <c r="F28" s="39">
        <f>+'S Kitty Detail'!F57</f>
        <v>252320.02565714935</v>
      </c>
      <c r="G28" s="40">
        <f>+'S Kitty Detail'!Q57</f>
        <v>364753.82908997498</v>
      </c>
    </row>
    <row r="29" spans="1:7" x14ac:dyDescent="0.2">
      <c r="A29" t="str">
        <f t="shared" si="1"/>
        <v>10/01/01 - 10/31/01</v>
      </c>
      <c r="B29" t="s">
        <v>40</v>
      </c>
      <c r="C29" s="37">
        <f>+'S Kitty Detail'!K18</f>
        <v>0</v>
      </c>
      <c r="D29" s="38">
        <f t="shared" si="0"/>
        <v>1.05</v>
      </c>
      <c r="E29" s="39">
        <f>+F29/'Box Draw Detail'!$B$11</f>
        <v>106225.78028579422</v>
      </c>
      <c r="F29" s="39">
        <f>+'S Kitty Detail'!H57</f>
        <v>101474.70365178357</v>
      </c>
      <c r="G29" s="40">
        <f>+'S Kitty Detail'!R57</f>
        <v>106548.43883437275</v>
      </c>
    </row>
    <row r="30" spans="1:7" x14ac:dyDescent="0.2">
      <c r="A30" t="str">
        <f t="shared" si="1"/>
        <v>10/01/01 - 10/31/01</v>
      </c>
      <c r="B30" t="s">
        <v>41</v>
      </c>
      <c r="C30" s="37">
        <f>+'S Kitty Detail'!K19</f>
        <v>0</v>
      </c>
      <c r="D30" s="38">
        <f t="shared" si="0"/>
        <v>1.8337012280905629</v>
      </c>
      <c r="E30" s="39">
        <f>+F30/'Box Draw Detail'!$B$11</f>
        <v>330264.51464507624</v>
      </c>
      <c r="F30" s="39">
        <f>+'S Kitty Detail'!L57</f>
        <v>315493.0343664519</v>
      </c>
      <c r="G30" s="40">
        <f>+'S Kitty Detail'!T57</f>
        <v>578519.96457178099</v>
      </c>
    </row>
    <row r="31" spans="1:7" x14ac:dyDescent="0.2">
      <c r="A31" t="str">
        <f t="shared" si="1"/>
        <v>10/01/01 - 10/31/01</v>
      </c>
      <c r="B31" t="s">
        <v>42</v>
      </c>
      <c r="C31" s="37">
        <f>+'S Kitty Detail'!K20</f>
        <v>-0.15709999999999999</v>
      </c>
      <c r="D31" s="38">
        <f t="shared" si="0"/>
        <v>1.8564415951360862</v>
      </c>
      <c r="E31" s="39">
        <f>+F31/'Box Draw Detail'!$B$11</f>
        <v>40683.694840491306</v>
      </c>
      <c r="F31" s="39">
        <f>+'S Kitty Detail'!J57</f>
        <v>38864.067331784485</v>
      </c>
      <c r="G31" s="40">
        <f>+'S Kitty Detail'!S57</f>
        <v>72148.871150894251</v>
      </c>
    </row>
    <row r="32" spans="1:7" x14ac:dyDescent="0.2">
      <c r="A32" t="str">
        <f t="shared" si="1"/>
        <v>10/01/01 - 10/31/01</v>
      </c>
      <c r="B32" t="s">
        <v>43</v>
      </c>
      <c r="C32" t="s">
        <v>44</v>
      </c>
      <c r="D32" s="47" t="s">
        <v>45</v>
      </c>
      <c r="E32" s="39">
        <f>+F32/'Box Draw Detail'!$B$12</f>
        <v>34946.500548766562</v>
      </c>
      <c r="F32" s="39">
        <f>-+'Box Draw Detail'!M57</f>
        <v>33392</v>
      </c>
      <c r="G32" s="48" t="s">
        <v>46</v>
      </c>
    </row>
    <row r="33" spans="1:11" x14ac:dyDescent="0.2">
      <c r="A33" t="str">
        <f t="shared" si="1"/>
        <v>10/01/01 - 10/31/01</v>
      </c>
      <c r="B33" t="s">
        <v>47</v>
      </c>
      <c r="C33" t="s">
        <v>44</v>
      </c>
      <c r="D33" s="47" t="s">
        <v>45</v>
      </c>
      <c r="E33" s="39">
        <f>+F33/'Box Draw Detail'!$B$11</f>
        <v>68358.412774933255</v>
      </c>
      <c r="F33" s="39">
        <f>-+'S Kitty Detail'!M57</f>
        <v>65301</v>
      </c>
      <c r="G33" s="48" t="s">
        <v>46</v>
      </c>
    </row>
    <row r="34" spans="1:11" x14ac:dyDescent="0.2">
      <c r="A34" s="49" t="s">
        <v>48</v>
      </c>
      <c r="B34" s="21"/>
      <c r="C34" s="21"/>
      <c r="D34" s="50"/>
      <c r="E34" s="49">
        <f>SUM(E22:E33)</f>
        <v>1328538.7199081804</v>
      </c>
      <c r="F34" s="49">
        <f>SUM(F22:F33)</f>
        <v>1269168</v>
      </c>
      <c r="G34" s="51">
        <f>SUM(G22:G32)</f>
        <v>1903208.3646</v>
      </c>
    </row>
    <row r="35" spans="1:11" x14ac:dyDescent="0.2">
      <c r="C35" s="37"/>
      <c r="D35" s="47"/>
      <c r="E35" s="47"/>
      <c r="F35" s="39"/>
      <c r="G35" s="48"/>
    </row>
    <row r="36" spans="1:11" x14ac:dyDescent="0.2">
      <c r="D36" s="47"/>
      <c r="E36" s="47"/>
      <c r="F36" s="39"/>
      <c r="G36" s="48"/>
      <c r="K36" s="52"/>
    </row>
    <row r="37" spans="1:11" x14ac:dyDescent="0.2">
      <c r="D37" s="53" t="s">
        <v>49</v>
      </c>
      <c r="E37" s="53"/>
      <c r="F37" s="54"/>
      <c r="G37" s="55">
        <f>SUM(G34:G35)</f>
        <v>1903208.3646</v>
      </c>
    </row>
    <row r="40" spans="1:11" x14ac:dyDescent="0.2">
      <c r="F40" s="52"/>
      <c r="G40" s="56"/>
    </row>
    <row r="41" spans="1:11" x14ac:dyDescent="0.2">
      <c r="F41" s="52"/>
    </row>
  </sheetData>
  <phoneticPr fontId="0" type="noConversion"/>
  <pageMargins left="0.75" right="0.75" top="1" bottom="1" header="0.5" footer="0.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6" r:id="rId6"/>
      </mc:Fallback>
    </mc:AlternateContent>
    <mc:AlternateContent xmlns:mc="http://schemas.openxmlformats.org/markup-compatibility/2006">
      <mc:Choice Requires="x14">
        <oleObject progId="Paint.Picture" shapeId="1027" r:id="rId7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7" r:id="rId7"/>
      </mc:Fallback>
    </mc:AlternateContent>
    <mc:AlternateContent xmlns:mc="http://schemas.openxmlformats.org/markup-compatibility/2006">
      <mc:Choice Requires="x14">
        <oleObject progId="Paint.Picture" shapeId="1028" r:id="rId8">
          <objectPr defaultSize="0" autoPict="0" r:id="rId5">
            <anchor moveWithCells="1">
              <from>
                <xdr:col>0</xdr:col>
                <xdr:colOff>552450</xdr:colOff>
                <xdr:row>0</xdr:row>
                <xdr:rowOff>0</xdr:rowOff>
              </from>
              <to>
                <xdr:col>1</xdr:col>
                <xdr:colOff>180975</xdr:colOff>
                <xdr:row>6</xdr:row>
                <xdr:rowOff>28575</xdr:rowOff>
              </to>
            </anchor>
          </objectPr>
        </oleObject>
      </mc:Choice>
      <mc:Fallback>
        <oleObject progId="Paint.Picture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showGridLines="0" tabSelected="1" zoomScale="90" zoomScaleNormal="90" workbookViewId="0">
      <selection activeCell="A14" sqref="A14"/>
    </sheetView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19.8554687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3.28515625" style="58" bestFit="1" customWidth="1"/>
    <col min="20" max="20" width="15.28515625" style="58" customWidth="1"/>
    <col min="21" max="21" width="13.28515625" style="58" bestFit="1" customWidth="1"/>
    <col min="22" max="22" width="12.140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5.42578125" style="58" customWidth="1"/>
    <col min="27" max="27" width="16.42578125" style="58" customWidth="1"/>
    <col min="28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41887.550705671296</v>
      </c>
    </row>
    <row r="2" spans="1:19" x14ac:dyDescent="0.2">
      <c r="A2" s="60">
        <f>+'[1]Index Pricing'!A1</f>
        <v>37165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1.7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1.05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14313.745171831948</v>
      </c>
      <c r="D11" s="72">
        <f>'[1]Internal Kennedy Total'!H8</f>
        <v>0.68056985411905424</v>
      </c>
      <c r="E11" s="73">
        <v>0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6718.254828168052</v>
      </c>
      <c r="D12" s="77">
        <f>'[1]Internal Kennedy Total'!H7</f>
        <v>0.31943014588094576</v>
      </c>
      <c r="E12" s="78">
        <v>0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69</v>
      </c>
      <c r="B15" s="82"/>
      <c r="C15" s="82" t="s">
        <v>70</v>
      </c>
      <c r="D15" s="82" t="s">
        <v>71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-E12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1" x14ac:dyDescent="0.2">
      <c r="A17" s="87" t="s">
        <v>77</v>
      </c>
      <c r="B17" s="88" t="s">
        <v>79</v>
      </c>
      <c r="C17" s="89">
        <v>0.01</v>
      </c>
      <c r="D17" s="88">
        <f>-E12</f>
        <v>0</v>
      </c>
      <c r="E17" s="88">
        <f>-0.13-0.0025-0.0022</f>
        <v>-0.13470000000000001</v>
      </c>
      <c r="F17" s="88">
        <f>-'[1]Index Pricing'!$F$3*'[1]Index Pricing'!B3</f>
        <v>-7.1399999999999996E-3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-0.25440000000000002</v>
      </c>
    </row>
    <row r="18" spans="1:21" x14ac:dyDescent="0.2">
      <c r="A18" s="87" t="s">
        <v>77</v>
      </c>
      <c r="B18" s="88" t="s">
        <v>80</v>
      </c>
      <c r="C18" s="89">
        <v>0</v>
      </c>
      <c r="D18" s="88">
        <f>-$E$12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1" x14ac:dyDescent="0.2">
      <c r="A19" s="87" t="s">
        <v>81</v>
      </c>
      <c r="B19" s="88" t="s">
        <v>78</v>
      </c>
      <c r="C19" s="92" t="s">
        <v>82</v>
      </c>
      <c r="D19" s="88">
        <f>-$E$12</f>
        <v>0</v>
      </c>
      <c r="E19" s="88"/>
      <c r="F19" s="88"/>
      <c r="G19" s="88"/>
      <c r="H19" s="88"/>
      <c r="I19" s="88">
        <f>I18</f>
        <v>0</v>
      </c>
      <c r="J19" s="88"/>
      <c r="K19" s="91">
        <f>ROUND(SUM(C19:J19),4)</f>
        <v>0</v>
      </c>
      <c r="L19" s="93"/>
      <c r="N19" s="94"/>
    </row>
    <row r="20" spans="1:21" x14ac:dyDescent="0.2">
      <c r="A20" s="87" t="s">
        <v>81</v>
      </c>
      <c r="B20" s="88" t="s">
        <v>78</v>
      </c>
      <c r="C20" s="89">
        <v>0.1</v>
      </c>
      <c r="D20" s="88">
        <f>-$E$12</f>
        <v>0</v>
      </c>
      <c r="E20" s="88">
        <v>-0.25</v>
      </c>
      <c r="F20" s="88">
        <f>-'[1]Index Pricing'!$F$3*'[1]Index Pricing'!B3</f>
        <v>-7.1399999999999996E-3</v>
      </c>
      <c r="G20" s="88"/>
      <c r="H20" s="88"/>
      <c r="I20" s="88">
        <f>I19</f>
        <v>0</v>
      </c>
      <c r="J20" s="88"/>
      <c r="K20" s="91">
        <f>ROUND(SUM(C20:J20),4)</f>
        <v>-0.15709999999999999</v>
      </c>
      <c r="L20" s="93"/>
    </row>
    <row r="21" spans="1:21" ht="13.5" thickBot="1" x14ac:dyDescent="0.25"/>
    <row r="22" spans="1:21" ht="23.25" thickBot="1" x14ac:dyDescent="0.5">
      <c r="C22" s="95" t="s">
        <v>83</v>
      </c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7"/>
      <c r="Q22" s="97"/>
      <c r="R22" s="97"/>
      <c r="S22" s="97"/>
      <c r="T22" s="97"/>
      <c r="U22" s="98"/>
    </row>
    <row r="23" spans="1:21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94</v>
      </c>
      <c r="N23" s="102" t="s">
        <v>95</v>
      </c>
      <c r="O23" s="103" t="s">
        <v>96</v>
      </c>
      <c r="P23" s="185" t="s">
        <v>97</v>
      </c>
      <c r="Q23" s="186"/>
      <c r="R23" s="186"/>
      <c r="S23" s="186"/>
      <c r="T23" s="187"/>
      <c r="U23" s="104"/>
    </row>
    <row r="24" spans="1:21" s="105" customFormat="1" ht="25.5" x14ac:dyDescent="0.2">
      <c r="B24" s="106"/>
      <c r="C24" s="107"/>
      <c r="D24" s="106"/>
      <c r="E24" s="107"/>
      <c r="F24" s="108">
        <f>IF(+C7*0.8&gt;12000,12000,+C7*0.8)</f>
        <v>12000</v>
      </c>
      <c r="G24" s="107"/>
      <c r="H24" s="106"/>
      <c r="I24" s="107"/>
      <c r="J24" s="106"/>
      <c r="K24" s="107"/>
      <c r="L24" s="106"/>
      <c r="M24" s="109" t="s">
        <v>98</v>
      </c>
      <c r="N24" s="109"/>
      <c r="O24" s="110"/>
      <c r="P24" s="111"/>
      <c r="Q24" s="112"/>
      <c r="R24" s="112"/>
      <c r="S24" s="112"/>
      <c r="T24" s="113"/>
      <c r="U24" s="114"/>
    </row>
    <row r="25" spans="1:21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1" x14ac:dyDescent="0.2">
      <c r="A26" s="124">
        <f>+'[1]Index Pricing'!A7</f>
        <v>37165</v>
      </c>
      <c r="B26" s="125">
        <f>+'[1]Index Pricing'!B7</f>
        <v>1.32</v>
      </c>
      <c r="C26" s="126">
        <f t="shared" ref="C26:C56" si="0">+B26+$K$16</f>
        <v>1.32</v>
      </c>
      <c r="D26" s="127">
        <f>O26*'[1]Internal Kennedy Total'!T18</f>
        <v>1287.8963329723038</v>
      </c>
      <c r="E26" s="128">
        <f>+'[1]Index Pricing'!$B$4+'Box Draw Detail'!$K$17</f>
        <v>1.4456</v>
      </c>
      <c r="F26" s="129">
        <f>O26*'[1]Internal Kennedy Total'!U18</f>
        <v>3674.4545876527927</v>
      </c>
      <c r="G26" s="128">
        <f t="shared" ref="G26:G56" si="1">$C$6+$K$18</f>
        <v>1.05</v>
      </c>
      <c r="H26" s="130">
        <f>O26*'[1]Internal Kennedy Total'!V18</f>
        <v>1477.7431533343649</v>
      </c>
      <c r="I26" s="128">
        <f t="shared" ref="I26:I56" si="2">B26+$K$20</f>
        <v>1.1629</v>
      </c>
      <c r="J26" s="131">
        <f>O26*'[1]Internal Kennedy Total'!W18</f>
        <v>456.24477796688848</v>
      </c>
      <c r="K26" s="128">
        <f>B26+$K$19+'[1]Kennedy Gas Daily Pricing'!B7</f>
        <v>1.1700000000000002</v>
      </c>
      <c r="L26" s="131">
        <f>'[1]Internal Kennedy Total'!X18*'[1]Internal Kennedy Total'!M18</f>
        <v>4977.6611480736501</v>
      </c>
      <c r="M26" s="132">
        <f>'[2]Enron Detail'!D14</f>
        <v>-1286</v>
      </c>
      <c r="N26" s="133">
        <f>'[2]Enron Detail'!C14</f>
        <v>13160</v>
      </c>
      <c r="O26" s="134">
        <f t="shared" ref="O26:O56" si="3">SUM(M26:N26)</f>
        <v>11874</v>
      </c>
      <c r="P26" s="135">
        <f t="shared" ref="P26:P56" si="4">+C26*D26</f>
        <v>1700.0231595234411</v>
      </c>
      <c r="Q26" s="136">
        <f t="shared" ref="Q26:Q56" si="5">+E26*F26</f>
        <v>5311.7915519108774</v>
      </c>
      <c r="R26" s="136">
        <f t="shared" ref="R26:R56" si="6">+G26*H26</f>
        <v>1551.6303110010833</v>
      </c>
      <c r="S26" s="136">
        <f t="shared" ref="S26:S56" si="7">I26*J26</f>
        <v>530.56705229769466</v>
      </c>
      <c r="T26" s="137">
        <f t="shared" ref="T26:T56" si="8">K26*L26</f>
        <v>5823.8635432461715</v>
      </c>
      <c r="U26" s="138">
        <f t="shared" ref="U26:U57" si="9">SUM(P26:T26)</f>
        <v>14917.875617979269</v>
      </c>
    </row>
    <row r="27" spans="1:21" x14ac:dyDescent="0.2">
      <c r="A27" s="124">
        <f>+'[1]Index Pricing'!A8</f>
        <v>37166</v>
      </c>
      <c r="B27" s="125">
        <f>+'[1]Index Pricing'!B8</f>
        <v>1.35</v>
      </c>
      <c r="C27" s="139">
        <f t="shared" si="0"/>
        <v>1.35</v>
      </c>
      <c r="D27" s="140">
        <f>O27*'[1]Internal Kennedy Total'!T19</f>
        <v>1307.6980742605413</v>
      </c>
      <c r="E27" s="141">
        <f>+'[1]Index Pricing'!$B$4+'Box Draw Detail'!$K$17</f>
        <v>1.4456</v>
      </c>
      <c r="F27" s="142">
        <f>O27*'[1]Internal Kennedy Total'!U19</f>
        <v>3730.9502831969794</v>
      </c>
      <c r="G27" s="141">
        <f t="shared" si="1"/>
        <v>1.05</v>
      </c>
      <c r="H27" s="143">
        <f>O27*'[1]Internal Kennedy Total'!V19</f>
        <v>1500.4638388923852</v>
      </c>
      <c r="I27" s="141">
        <f t="shared" si="2"/>
        <v>1.1929000000000001</v>
      </c>
      <c r="J27" s="144">
        <f>O27*'[1]Internal Kennedy Total'!W19</f>
        <v>463.25966016362491</v>
      </c>
      <c r="K27" s="141">
        <f>B27+$K$19+'[1]Kennedy Gas Daily Pricing'!B8</f>
        <v>1.25</v>
      </c>
      <c r="L27" s="144">
        <f>'[1]Internal Kennedy Total'!X19*'[1]Internal Kennedy Total'!M19</f>
        <v>5348.6281434864695</v>
      </c>
      <c r="M27" s="145">
        <f>'[2]Enron Detail'!D15</f>
        <v>-1033</v>
      </c>
      <c r="N27" s="146">
        <f>'[2]Enron Detail'!C15</f>
        <v>13384</v>
      </c>
      <c r="O27" s="147">
        <f t="shared" si="3"/>
        <v>12351</v>
      </c>
      <c r="P27" s="135">
        <f t="shared" si="4"/>
        <v>1765.3924002517308</v>
      </c>
      <c r="Q27" s="136">
        <f t="shared" si="5"/>
        <v>5393.4617293895535</v>
      </c>
      <c r="R27" s="136">
        <f t="shared" si="6"/>
        <v>1575.4870308370046</v>
      </c>
      <c r="S27" s="136">
        <f t="shared" si="7"/>
        <v>552.62244860918815</v>
      </c>
      <c r="T27" s="137">
        <f t="shared" si="8"/>
        <v>6685.7851793580867</v>
      </c>
      <c r="U27" s="148">
        <f t="shared" si="9"/>
        <v>15972.748788445564</v>
      </c>
    </row>
    <row r="28" spans="1:21" x14ac:dyDescent="0.2">
      <c r="A28" s="124">
        <f>+'[1]Index Pricing'!A9</f>
        <v>37167</v>
      </c>
      <c r="B28" s="125">
        <f>+'[1]Index Pricing'!B9</f>
        <v>1.32</v>
      </c>
      <c r="C28" s="139">
        <f t="shared" si="0"/>
        <v>1.32</v>
      </c>
      <c r="D28" s="140">
        <f>O28*'[1]Internal Kennedy Total'!T20</f>
        <v>1904.4901420861329</v>
      </c>
      <c r="E28" s="141">
        <f>+'[1]Index Pricing'!$B$4+'Box Draw Detail'!$K$17</f>
        <v>1.4456</v>
      </c>
      <c r="F28" s="142">
        <f>O28*'[1]Internal Kennedy Total'!U20</f>
        <v>5433.6380658662847</v>
      </c>
      <c r="G28" s="141">
        <f t="shared" si="1"/>
        <v>1.05</v>
      </c>
      <c r="H28" s="143">
        <f>O28*'[1]Internal Kennedy Total'!V20</f>
        <v>2185.2281088225573</v>
      </c>
      <c r="I28" s="141">
        <f t="shared" si="2"/>
        <v>1.1629</v>
      </c>
      <c r="J28" s="144">
        <f>O28*'[1]Internal Kennedy Total'!W20</f>
        <v>674.67672651173041</v>
      </c>
      <c r="K28" s="141">
        <f>B28+$K$19+'[1]Kennedy Gas Daily Pricing'!B9</f>
        <v>1.24</v>
      </c>
      <c r="L28" s="144">
        <f>'[1]Internal Kennedy Total'!X20*'[1]Internal Kennedy Total'!M20</f>
        <v>2134.9669567132942</v>
      </c>
      <c r="M28" s="145">
        <f>'[2]Enron Detail'!D16</f>
        <v>-1153</v>
      </c>
      <c r="N28" s="146">
        <f>'[2]Enron Detail'!C16</f>
        <v>13486</v>
      </c>
      <c r="O28" s="147">
        <f t="shared" si="3"/>
        <v>12333</v>
      </c>
      <c r="P28" s="135">
        <f t="shared" si="4"/>
        <v>2513.9269875536957</v>
      </c>
      <c r="Q28" s="136">
        <f t="shared" si="5"/>
        <v>7854.867188016301</v>
      </c>
      <c r="R28" s="136">
        <f t="shared" si="6"/>
        <v>2294.4895142636851</v>
      </c>
      <c r="S28" s="136">
        <f t="shared" si="7"/>
        <v>784.58156526049129</v>
      </c>
      <c r="T28" s="137">
        <f t="shared" si="8"/>
        <v>2647.3590263244846</v>
      </c>
      <c r="U28" s="148">
        <f t="shared" si="9"/>
        <v>16095.224281418657</v>
      </c>
    </row>
    <row r="29" spans="1:21" x14ac:dyDescent="0.2">
      <c r="A29" s="124">
        <f>+'[1]Index Pricing'!A10</f>
        <v>37168</v>
      </c>
      <c r="B29" s="125">
        <f>+'[1]Index Pricing'!B10</f>
        <v>1.57</v>
      </c>
      <c r="C29" s="139">
        <f t="shared" si="0"/>
        <v>1.57</v>
      </c>
      <c r="D29" s="140">
        <f>O29*'[1]Internal Kennedy Total'!T21</f>
        <v>1408.3635474139103</v>
      </c>
      <c r="E29" s="141">
        <f>+'[1]Index Pricing'!$B$4+'Box Draw Detail'!$K$17</f>
        <v>1.4456</v>
      </c>
      <c r="F29" s="142">
        <f>O29*'[1]Internal Kennedy Total'!U21</f>
        <v>4018.1556274291306</v>
      </c>
      <c r="G29" s="141">
        <f t="shared" si="1"/>
        <v>1.05</v>
      </c>
      <c r="H29" s="143">
        <f>O29*'[1]Internal Kennedy Total'!V21</f>
        <v>1615.968254831082</v>
      </c>
      <c r="I29" s="141">
        <f t="shared" si="2"/>
        <v>1.4129</v>
      </c>
      <c r="J29" s="144">
        <f>O29*'[1]Internal Kennedy Total'!W21</f>
        <v>498.92099040578375</v>
      </c>
      <c r="K29" s="141">
        <f>B29+$K$19+'[1]Kennedy Gas Daily Pricing'!B10</f>
        <v>1.49</v>
      </c>
      <c r="L29" s="144">
        <f>'[1]Internal Kennedy Total'!X21*'[1]Internal Kennedy Total'!M21</f>
        <v>4778.591579920093</v>
      </c>
      <c r="M29" s="145">
        <f>'[2]Enron Detail'!D17</f>
        <v>-1129</v>
      </c>
      <c r="N29" s="146">
        <f>'[2]Enron Detail'!C17</f>
        <v>13449</v>
      </c>
      <c r="O29" s="147">
        <f t="shared" si="3"/>
        <v>12320</v>
      </c>
      <c r="P29" s="135">
        <f t="shared" si="4"/>
        <v>2211.1307694398392</v>
      </c>
      <c r="Q29" s="136">
        <f t="shared" si="5"/>
        <v>5808.6457750115515</v>
      </c>
      <c r="R29" s="136">
        <f t="shared" si="6"/>
        <v>1696.7666675726362</v>
      </c>
      <c r="S29" s="136">
        <f t="shared" si="7"/>
        <v>704.92546734433188</v>
      </c>
      <c r="T29" s="137">
        <f t="shared" si="8"/>
        <v>7120.1014540809383</v>
      </c>
      <c r="U29" s="148">
        <f t="shared" si="9"/>
        <v>17541.570133449299</v>
      </c>
    </row>
    <row r="30" spans="1:21" x14ac:dyDescent="0.2">
      <c r="A30" s="124">
        <f>+'[1]Index Pricing'!A11</f>
        <v>37169</v>
      </c>
      <c r="B30" s="125">
        <f>+'[1]Index Pricing'!B11</f>
        <v>1.6950000000000001</v>
      </c>
      <c r="C30" s="139">
        <f t="shared" si="0"/>
        <v>1.6950000000000001</v>
      </c>
      <c r="D30" s="140">
        <f>O30*'[1]Internal Kennedy Total'!T22</f>
        <v>1340.6833422849688</v>
      </c>
      <c r="E30" s="141">
        <f>+'[1]Index Pricing'!$B$4+'Box Draw Detail'!$K$17</f>
        <v>1.4456</v>
      </c>
      <c r="F30" s="142">
        <f>O30*'[1]Internal Kennedy Total'!U22</f>
        <v>3825.059464436431</v>
      </c>
      <c r="G30" s="141">
        <f t="shared" si="1"/>
        <v>1.05</v>
      </c>
      <c r="H30" s="143">
        <f>O30*'[1]Internal Kennedy Total'!V22</f>
        <v>1538.3114146141845</v>
      </c>
      <c r="I30" s="141">
        <f t="shared" si="2"/>
        <v>1.5379</v>
      </c>
      <c r="J30" s="144">
        <f>O30*'[1]Internal Kennedy Total'!W22</f>
        <v>474.94488350085686</v>
      </c>
      <c r="K30" s="141">
        <f>B30+$K$19+'[1]Kennedy Gas Daily Pricing'!B11</f>
        <v>1.615</v>
      </c>
      <c r="L30" s="144">
        <f>'[1]Internal Kennedy Total'!X22*'[1]Internal Kennedy Total'!M22</f>
        <v>5284.0008951635591</v>
      </c>
      <c r="M30" s="145">
        <f>'[2]Enron Detail'!D18</f>
        <v>-1083</v>
      </c>
      <c r="N30" s="146">
        <f>'[2]Enron Detail'!C18</f>
        <v>13546</v>
      </c>
      <c r="O30" s="147">
        <f t="shared" si="3"/>
        <v>12463</v>
      </c>
      <c r="P30" s="135">
        <f t="shared" si="4"/>
        <v>2272.458265173022</v>
      </c>
      <c r="Q30" s="136">
        <f t="shared" si="5"/>
        <v>5529.5059617893048</v>
      </c>
      <c r="R30" s="136">
        <f t="shared" si="6"/>
        <v>1615.2269853448938</v>
      </c>
      <c r="S30" s="136">
        <f t="shared" si="7"/>
        <v>730.41773633596779</v>
      </c>
      <c r="T30" s="137">
        <f t="shared" si="8"/>
        <v>8533.6614456891475</v>
      </c>
      <c r="U30" s="148">
        <f t="shared" si="9"/>
        <v>18681.270394332336</v>
      </c>
    </row>
    <row r="31" spans="1:21" x14ac:dyDescent="0.2">
      <c r="A31" s="124">
        <f>+'[1]Index Pricing'!A12</f>
        <v>37170</v>
      </c>
      <c r="B31" s="125">
        <f>+'[1]Index Pricing'!B12</f>
        <v>1.61</v>
      </c>
      <c r="C31" s="139">
        <f t="shared" si="0"/>
        <v>1.61</v>
      </c>
      <c r="D31" s="140">
        <f>O31*'[1]Internal Kennedy Total'!T23</f>
        <v>1337.864135965805</v>
      </c>
      <c r="E31" s="141">
        <f>+'[1]Index Pricing'!$B$4+'Box Draw Detail'!$K$17</f>
        <v>1.4456</v>
      </c>
      <c r="F31" s="142">
        <f>O31*'[1]Internal Kennedy Total'!U23</f>
        <v>3817.0160797883163</v>
      </c>
      <c r="G31" s="141">
        <f t="shared" si="1"/>
        <v>1.05</v>
      </c>
      <c r="H31" s="143">
        <f>O31*'[1]Internal Kennedy Total'!V23</f>
        <v>1535.0766334215348</v>
      </c>
      <c r="I31" s="141">
        <f t="shared" si="2"/>
        <v>1.4529000000000001</v>
      </c>
      <c r="J31" s="144">
        <f>O31*'[1]Internal Kennedy Total'!W23</f>
        <v>473.94616324038265</v>
      </c>
      <c r="K31" s="141">
        <f>B31+$K$19+'[1]Kennedy Gas Daily Pricing'!B12</f>
        <v>1.4900000000000002</v>
      </c>
      <c r="L31" s="144">
        <f>'[1]Internal Kennedy Total'!X23*'[1]Internal Kennedy Total'!M23</f>
        <v>5338.096987583961</v>
      </c>
      <c r="M31" s="145">
        <f>'[2]Enron Detail'!D19</f>
        <v>-1129</v>
      </c>
      <c r="N31" s="146">
        <f>'[2]Enron Detail'!C19</f>
        <v>13631</v>
      </c>
      <c r="O31" s="147">
        <f t="shared" si="3"/>
        <v>12502</v>
      </c>
      <c r="P31" s="135">
        <f t="shared" si="4"/>
        <v>2153.9612589049461</v>
      </c>
      <c r="Q31" s="136">
        <f t="shared" si="5"/>
        <v>5517.87844494199</v>
      </c>
      <c r="R31" s="136">
        <f t="shared" si="6"/>
        <v>1611.8304650926116</v>
      </c>
      <c r="S31" s="136">
        <f t="shared" si="7"/>
        <v>688.59638057195195</v>
      </c>
      <c r="T31" s="137">
        <f t="shared" si="8"/>
        <v>7953.7645115001033</v>
      </c>
      <c r="U31" s="148">
        <f t="shared" si="9"/>
        <v>17926.031061011599</v>
      </c>
    </row>
    <row r="32" spans="1:21" x14ac:dyDescent="0.2">
      <c r="A32" s="124">
        <f>+'[1]Index Pricing'!A13</f>
        <v>37171</v>
      </c>
      <c r="B32" s="149">
        <f>+'[1]Index Pricing'!B13</f>
        <v>1.61</v>
      </c>
      <c r="C32" s="139">
        <f t="shared" si="0"/>
        <v>1.61</v>
      </c>
      <c r="D32" s="140">
        <f>O32*'[1]Internal Kennedy Total'!T24</f>
        <v>1341.4133807287037</v>
      </c>
      <c r="E32" s="141">
        <f>+'[1]Index Pricing'!$B$4+'Box Draw Detail'!$K$17</f>
        <v>1.4456</v>
      </c>
      <c r="F32" s="142">
        <f>O32*'[1]Internal Kennedy Total'!U24</f>
        <v>3827.1423130633489</v>
      </c>
      <c r="G32" s="141">
        <f t="shared" si="1"/>
        <v>1.05</v>
      </c>
      <c r="H32" s="143">
        <f>O32*'[1]Internal Kennedy Total'!V24</f>
        <v>1539.1490669036436</v>
      </c>
      <c r="I32" s="141">
        <f t="shared" si="2"/>
        <v>1.4529000000000001</v>
      </c>
      <c r="J32" s="144">
        <f>O32*'[1]Internal Kennedy Total'!W24</f>
        <v>475.20350387203251</v>
      </c>
      <c r="K32" s="141">
        <f>B32+$K$19+'[1]Kennedy Gas Daily Pricing'!B13</f>
        <v>1.4900000000000002</v>
      </c>
      <c r="L32" s="144">
        <f>'[1]Internal Kennedy Total'!X24*'[1]Internal Kennedy Total'!M24</f>
        <v>5378.091735432271</v>
      </c>
      <c r="M32" s="145">
        <f>'[2]Enron Detail'!D20</f>
        <v>-1121</v>
      </c>
      <c r="N32" s="146">
        <f>'[2]Enron Detail'!C20</f>
        <v>13682</v>
      </c>
      <c r="O32" s="147">
        <f t="shared" si="3"/>
        <v>12561</v>
      </c>
      <c r="P32" s="135">
        <f t="shared" si="4"/>
        <v>2159.6755429732129</v>
      </c>
      <c r="Q32" s="136">
        <f t="shared" si="5"/>
        <v>5532.5169277643772</v>
      </c>
      <c r="R32" s="136">
        <f t="shared" si="6"/>
        <v>1616.106520248826</v>
      </c>
      <c r="S32" s="136">
        <f t="shared" si="7"/>
        <v>690.42317077567611</v>
      </c>
      <c r="T32" s="137">
        <f t="shared" si="8"/>
        <v>8013.356685794085</v>
      </c>
      <c r="U32" s="148">
        <f t="shared" si="9"/>
        <v>18012.078847556175</v>
      </c>
    </row>
    <row r="33" spans="1:21" x14ac:dyDescent="0.2">
      <c r="A33" s="124">
        <f>+'[1]Index Pricing'!A14</f>
        <v>37172</v>
      </c>
      <c r="B33" s="125">
        <f>+'[1]Index Pricing'!B14</f>
        <v>1.61</v>
      </c>
      <c r="C33" s="139">
        <f t="shared" si="0"/>
        <v>1.61</v>
      </c>
      <c r="D33" s="140">
        <f>O33*'[1]Internal Kennedy Total'!T25</f>
        <v>1342.6368083154998</v>
      </c>
      <c r="E33" s="141">
        <f>+'[1]Index Pricing'!$B$4+'Box Draw Detail'!$K$17</f>
        <v>1.4456</v>
      </c>
      <c r="F33" s="142">
        <f>O33*'[1]Internal Kennedy Total'!U25</f>
        <v>3830.6328339957199</v>
      </c>
      <c r="G33" s="141">
        <f t="shared" si="1"/>
        <v>1.05</v>
      </c>
      <c r="H33" s="143">
        <f>O33*'[1]Internal Kennedy Total'!V25</f>
        <v>1540.5528380719454</v>
      </c>
      <c r="I33" s="141">
        <f t="shared" si="2"/>
        <v>1.4529000000000001</v>
      </c>
      <c r="J33" s="144">
        <f>O33*'[1]Internal Kennedy Total'!W25</f>
        <v>475.63691022113528</v>
      </c>
      <c r="K33" s="141">
        <f>B33+$K$19+'[1]Kennedy Gas Daily Pricing'!B14</f>
        <v>1.4900000000000002</v>
      </c>
      <c r="L33" s="144">
        <f>'[1]Internal Kennedy Total'!X25*'[1]Internal Kennedy Total'!M25</f>
        <v>5340.540609395699</v>
      </c>
      <c r="M33" s="145">
        <f>'[2]Enron Detail'!D21</f>
        <v>-1049</v>
      </c>
      <c r="N33" s="146">
        <f>'[2]Enron Detail'!C21</f>
        <v>13579</v>
      </c>
      <c r="O33" s="147">
        <f t="shared" si="3"/>
        <v>12530</v>
      </c>
      <c r="P33" s="135">
        <f t="shared" si="4"/>
        <v>2161.6452613879546</v>
      </c>
      <c r="Q33" s="136">
        <f t="shared" si="5"/>
        <v>5537.5628248242128</v>
      </c>
      <c r="R33" s="136">
        <f t="shared" si="6"/>
        <v>1617.5804799755429</v>
      </c>
      <c r="S33" s="136">
        <f t="shared" si="7"/>
        <v>691.05286686028751</v>
      </c>
      <c r="T33" s="137">
        <f t="shared" si="8"/>
        <v>7957.4055079995924</v>
      </c>
      <c r="U33" s="148">
        <f t="shared" si="9"/>
        <v>17965.24694104759</v>
      </c>
    </row>
    <row r="34" spans="1:21" x14ac:dyDescent="0.2">
      <c r="A34" s="124">
        <f>+'[1]Index Pricing'!A15</f>
        <v>37173</v>
      </c>
      <c r="B34" s="125">
        <f>+'[1]Index Pricing'!B15</f>
        <v>1.5249999999999999</v>
      </c>
      <c r="C34" s="139">
        <f t="shared" si="0"/>
        <v>1.5249999999999999</v>
      </c>
      <c r="D34" s="140">
        <f>O34*'[1]Internal Kennedy Total'!T26</f>
        <v>1239.852716082419</v>
      </c>
      <c r="E34" s="141">
        <f>+'[1]Index Pricing'!$B$4+'Box Draw Detail'!$K$17</f>
        <v>1.4456</v>
      </c>
      <c r="F34" s="142">
        <f>O34*'[1]Internal Kennedy Total'!U26</f>
        <v>3537.3829274819373</v>
      </c>
      <c r="G34" s="141">
        <f t="shared" si="1"/>
        <v>1.05</v>
      </c>
      <c r="H34" s="143">
        <f>O34*'[1]Internal Kennedy Total'!V26</f>
        <v>1422.6175006689857</v>
      </c>
      <c r="I34" s="141">
        <f t="shared" si="2"/>
        <v>1.3678999999999999</v>
      </c>
      <c r="J34" s="144">
        <f>O34*'[1]Internal Kennedy Total'!W26</f>
        <v>439.22504682900728</v>
      </c>
      <c r="K34" s="141">
        <f>B34+$K$19+'[1]Kennedy Gas Daily Pricing'!B15</f>
        <v>1.4249999999999998</v>
      </c>
      <c r="L34" s="144">
        <f>'[1]Internal Kennedy Total'!X26*'[1]Internal Kennedy Total'!M26</f>
        <v>4376.9218089376509</v>
      </c>
      <c r="M34" s="145">
        <f>'[2]Enron Detail'!D22</f>
        <v>-1116</v>
      </c>
      <c r="N34" s="146">
        <f>'[2]Enron Detail'!C22</f>
        <v>12132</v>
      </c>
      <c r="O34" s="147">
        <f t="shared" si="3"/>
        <v>11016</v>
      </c>
      <c r="P34" s="135">
        <f t="shared" si="4"/>
        <v>1890.7753920256889</v>
      </c>
      <c r="Q34" s="136">
        <f t="shared" si="5"/>
        <v>5113.6407599678887</v>
      </c>
      <c r="R34" s="136">
        <f t="shared" si="6"/>
        <v>1493.7483757024352</v>
      </c>
      <c r="S34" s="136">
        <f t="shared" si="7"/>
        <v>600.81594155739901</v>
      </c>
      <c r="T34" s="137">
        <f t="shared" si="8"/>
        <v>6237.1135777361515</v>
      </c>
      <c r="U34" s="148">
        <f t="shared" si="9"/>
        <v>15336.094046989565</v>
      </c>
    </row>
    <row r="35" spans="1:21" x14ac:dyDescent="0.2">
      <c r="A35" s="124">
        <f>+'[1]Index Pricing'!A16</f>
        <v>37174</v>
      </c>
      <c r="B35" s="125">
        <f>+'[1]Index Pricing'!B16</f>
        <v>1.46</v>
      </c>
      <c r="C35" s="139">
        <f t="shared" si="0"/>
        <v>1.46</v>
      </c>
      <c r="D35" s="140">
        <f>O35*'[1]Internal Kennedy Total'!T27</f>
        <v>1327.5295324036094</v>
      </c>
      <c r="E35" s="141">
        <f>+'[1]Index Pricing'!$B$4+'Box Draw Detail'!$K$17</f>
        <v>1.4456</v>
      </c>
      <c r="F35" s="142">
        <f>O35*'[1]Internal Kennedy Total'!U27</f>
        <v>3787.5307629204267</v>
      </c>
      <c r="G35" s="141">
        <f t="shared" si="1"/>
        <v>1.05</v>
      </c>
      <c r="H35" s="143">
        <f>O35*'[1]Internal Kennedy Total'!V27</f>
        <v>1523.2186218211648</v>
      </c>
      <c r="I35" s="141">
        <f t="shared" si="2"/>
        <v>1.3028999999999999</v>
      </c>
      <c r="J35" s="144">
        <f>O35*'[1]Internal Kennedy Total'!W27</f>
        <v>470.28506972928631</v>
      </c>
      <c r="K35" s="141">
        <f>B35+$K$19+'[1]Kennedy Gas Daily Pricing'!B16</f>
        <v>1.3599999999999999</v>
      </c>
      <c r="L35" s="144">
        <f>'[1]Internal Kennedy Total'!X27*'[1]Internal Kennedy Total'!M27</f>
        <v>5203.4360131255125</v>
      </c>
      <c r="M35" s="145">
        <f>'[2]Enron Detail'!D23</f>
        <v>-1124</v>
      </c>
      <c r="N35" s="146">
        <f>'[2]Enron Detail'!C23</f>
        <v>13436</v>
      </c>
      <c r="O35" s="147">
        <f t="shared" si="3"/>
        <v>12312</v>
      </c>
      <c r="P35" s="135">
        <f t="shared" si="4"/>
        <v>1938.1931173092698</v>
      </c>
      <c r="Q35" s="136">
        <f t="shared" si="5"/>
        <v>5475.2544708777687</v>
      </c>
      <c r="R35" s="136">
        <f t="shared" si="6"/>
        <v>1599.3795529122231</v>
      </c>
      <c r="S35" s="136">
        <f t="shared" si="7"/>
        <v>612.73441735028712</v>
      </c>
      <c r="T35" s="137">
        <f t="shared" si="8"/>
        <v>7076.672977850696</v>
      </c>
      <c r="U35" s="148">
        <f t="shared" si="9"/>
        <v>16702.234536300246</v>
      </c>
    </row>
    <row r="36" spans="1:21" x14ac:dyDescent="0.2">
      <c r="A36" s="124">
        <f>+'[1]Index Pricing'!A17</f>
        <v>37175</v>
      </c>
      <c r="B36" s="125">
        <f>+'[1]Index Pricing'!B17</f>
        <v>1.73</v>
      </c>
      <c r="C36" s="139">
        <f t="shared" si="0"/>
        <v>1.73</v>
      </c>
      <c r="D36" s="140">
        <f>O36*'[1]Internal Kennedy Total'!T28</f>
        <v>1263.6473428710863</v>
      </c>
      <c r="E36" s="141">
        <f>+'[1]Index Pricing'!$B$4+'Box Draw Detail'!$K$17</f>
        <v>1.4456</v>
      </c>
      <c r="F36" s="142">
        <f>O36*'[1]Internal Kennedy Total'!U28</f>
        <v>3605.2705930701463</v>
      </c>
      <c r="G36" s="141">
        <f t="shared" si="1"/>
        <v>1.05</v>
      </c>
      <c r="H36" s="143">
        <f>O36*'[1]Internal Kennedy Total'!V28</f>
        <v>1449.9196568463772</v>
      </c>
      <c r="I36" s="141">
        <f t="shared" si="2"/>
        <v>1.5729</v>
      </c>
      <c r="J36" s="144">
        <f>O36*'[1]Internal Kennedy Total'!W28</f>
        <v>447.65443197287647</v>
      </c>
      <c r="K36" s="141">
        <f>B36+$K$19+'[1]Kennedy Gas Daily Pricing'!B17</f>
        <v>1.65</v>
      </c>
      <c r="L36" s="144">
        <f>'[1]Internal Kennedy Total'!X28*'[1]Internal Kennedy Total'!M28</f>
        <v>4930.5079752395141</v>
      </c>
      <c r="M36" s="145">
        <f>'[2]Enron Detail'!D24</f>
        <v>-1007</v>
      </c>
      <c r="N36" s="146">
        <f>'[2]Enron Detail'!C24</f>
        <v>12704</v>
      </c>
      <c r="O36" s="147">
        <f t="shared" si="3"/>
        <v>11697</v>
      </c>
      <c r="P36" s="135">
        <f t="shared" si="4"/>
        <v>2186.1099031669792</v>
      </c>
      <c r="Q36" s="136">
        <f t="shared" si="5"/>
        <v>5211.7791693422032</v>
      </c>
      <c r="R36" s="136">
        <f t="shared" si="6"/>
        <v>1522.415639688696</v>
      </c>
      <c r="S36" s="136">
        <f t="shared" si="7"/>
        <v>704.11565605013743</v>
      </c>
      <c r="T36" s="137">
        <f t="shared" si="8"/>
        <v>8135.338159145198</v>
      </c>
      <c r="U36" s="148">
        <f t="shared" si="9"/>
        <v>17759.758527393213</v>
      </c>
    </row>
    <row r="37" spans="1:21" x14ac:dyDescent="0.2">
      <c r="A37" s="124">
        <f>+'[1]Index Pricing'!A18</f>
        <v>37176</v>
      </c>
      <c r="B37" s="125">
        <f>+'[1]Index Pricing'!B18</f>
        <v>2.0449999999999999</v>
      </c>
      <c r="C37" s="139">
        <f t="shared" si="0"/>
        <v>2.0449999999999999</v>
      </c>
      <c r="D37" s="140">
        <f>O37*'[1]Internal Kennedy Total'!T29</f>
        <v>1238.6653128760529</v>
      </c>
      <c r="E37" s="141">
        <f>+'[1]Index Pricing'!$B$4+'Box Draw Detail'!$K$17</f>
        <v>1.4456</v>
      </c>
      <c r="F37" s="142">
        <f>O37*'[1]Internal Kennedy Total'!U29</f>
        <v>3533.9951865222624</v>
      </c>
      <c r="G37" s="141">
        <f t="shared" si="1"/>
        <v>1.05</v>
      </c>
      <c r="H37" s="143">
        <f>O37*'[1]Internal Kennedy Total'!V29</f>
        <v>1421.2550641797031</v>
      </c>
      <c r="I37" s="141">
        <f t="shared" si="2"/>
        <v>1.8878999999999999</v>
      </c>
      <c r="J37" s="144">
        <f>O37*'[1]Internal Kennedy Total'!W29</f>
        <v>438.80440232651421</v>
      </c>
      <c r="K37" s="141">
        <f>B37+$K$19+'[1]Kennedy Gas Daily Pricing'!B18</f>
        <v>1.9649999999999999</v>
      </c>
      <c r="L37" s="144">
        <f>'[1]Internal Kennedy Total'!X29*'[1]Internal Kennedy Total'!M29</f>
        <v>5114.2800340954673</v>
      </c>
      <c r="M37" s="145">
        <f>'[2]Enron Detail'!D25</f>
        <v>-1064</v>
      </c>
      <c r="N37" s="146">
        <f>'[2]Enron Detail'!C25</f>
        <v>12811</v>
      </c>
      <c r="O37" s="147">
        <f t="shared" si="3"/>
        <v>11747</v>
      </c>
      <c r="P37" s="135">
        <f t="shared" si="4"/>
        <v>2533.0705648315279</v>
      </c>
      <c r="Q37" s="136">
        <f t="shared" si="5"/>
        <v>5108.7434416365822</v>
      </c>
      <c r="R37" s="136">
        <f t="shared" si="6"/>
        <v>1492.3178173886884</v>
      </c>
      <c r="S37" s="136">
        <f t="shared" si="7"/>
        <v>828.41883115222618</v>
      </c>
      <c r="T37" s="137">
        <f t="shared" si="8"/>
        <v>10049.560266997592</v>
      </c>
      <c r="U37" s="148">
        <f t="shared" si="9"/>
        <v>20012.110922006617</v>
      </c>
    </row>
    <row r="38" spans="1:21" x14ac:dyDescent="0.2">
      <c r="A38" s="124">
        <f>+'[1]Index Pricing'!A19</f>
        <v>37177</v>
      </c>
      <c r="B38" s="125">
        <f>+'[1]Index Pricing'!B19</f>
        <v>1.94</v>
      </c>
      <c r="C38" s="139">
        <f t="shared" si="0"/>
        <v>1.94</v>
      </c>
      <c r="D38" s="140">
        <f>O38*'[1]Internal Kennedy Total'!T30</f>
        <v>1070.0008279859244</v>
      </c>
      <c r="E38" s="141">
        <f>+'[1]Index Pricing'!$B$4+'Box Draw Detail'!$K$17</f>
        <v>1.4456</v>
      </c>
      <c r="F38" s="142">
        <f>O38*'[1]Internal Kennedy Total'!U30</f>
        <v>3052.7841026702549</v>
      </c>
      <c r="G38" s="141">
        <f t="shared" si="1"/>
        <v>1.05</v>
      </c>
      <c r="H38" s="143">
        <f>O38*'[1]Internal Kennedy Total'!V30</f>
        <v>1227.7280066238875</v>
      </c>
      <c r="I38" s="141">
        <f t="shared" si="2"/>
        <v>1.7828999999999999</v>
      </c>
      <c r="J38" s="144">
        <f>O38*'[1]Internal Kennedy Total'!W30</f>
        <v>476.4887186917822</v>
      </c>
      <c r="K38" s="141">
        <f>B38+$K$19+'[1]Kennedy Gas Daily Pricing'!B19</f>
        <v>1.8599999999999999</v>
      </c>
      <c r="L38" s="144">
        <f>'[1]Internal Kennedy Total'!X30*'[1]Internal Kennedy Total'!M30</f>
        <v>2775.9983440281517</v>
      </c>
      <c r="M38" s="145">
        <f>'[2]Enron Detail'!D26</f>
        <v>-910</v>
      </c>
      <c r="N38" s="146">
        <f>'[2]Enron Detail'!C26</f>
        <v>9513</v>
      </c>
      <c r="O38" s="147">
        <f t="shared" si="3"/>
        <v>8603</v>
      </c>
      <c r="P38" s="135">
        <f t="shared" si="4"/>
        <v>2075.8016062926931</v>
      </c>
      <c r="Q38" s="136">
        <f t="shared" si="5"/>
        <v>4413.1046988201206</v>
      </c>
      <c r="R38" s="136">
        <f t="shared" si="6"/>
        <v>1289.1144069550819</v>
      </c>
      <c r="S38" s="136">
        <f t="shared" si="7"/>
        <v>849.53173655557839</v>
      </c>
      <c r="T38" s="137">
        <f t="shared" si="8"/>
        <v>5163.3569198923615</v>
      </c>
      <c r="U38" s="148">
        <f t="shared" si="9"/>
        <v>13790.909368515837</v>
      </c>
    </row>
    <row r="39" spans="1:21" x14ac:dyDescent="0.2">
      <c r="A39" s="124">
        <f>+'[1]Index Pricing'!A20</f>
        <v>37178</v>
      </c>
      <c r="B39" s="125">
        <f>+'[1]Index Pricing'!B20</f>
        <v>1.94</v>
      </c>
      <c r="C39" s="139">
        <f t="shared" si="0"/>
        <v>1.94</v>
      </c>
      <c r="D39" s="140">
        <f>O39*'[1]Internal Kennedy Total'!T31</f>
        <v>1263.2149059900382</v>
      </c>
      <c r="E39" s="141">
        <f>+'[1]Index Pricing'!$B$4+'Box Draw Detail'!$K$17</f>
        <v>1.4456</v>
      </c>
      <c r="F39" s="142">
        <f>O39*'[1]Internal Kennedy Total'!U31</f>
        <v>3604.0368216548886</v>
      </c>
      <c r="G39" s="141">
        <f t="shared" si="1"/>
        <v>1.05</v>
      </c>
      <c r="H39" s="143">
        <f>O39*'[1]Internal Kennedy Total'!V31</f>
        <v>1449.4234751088741</v>
      </c>
      <c r="I39" s="141">
        <f t="shared" si="2"/>
        <v>1.7828999999999999</v>
      </c>
      <c r="J39" s="144">
        <f>O39*'[1]Internal Kennedy Total'!W31</f>
        <v>562.53008057996715</v>
      </c>
      <c r="K39" s="141">
        <f>B39+$K$19+'[1]Kennedy Gas Daily Pricing'!B20</f>
        <v>1.8599999999999999</v>
      </c>
      <c r="L39" s="144">
        <f>'[1]Internal Kennedy Total'!X31*'[1]Internal Kennedy Total'!M31</f>
        <v>4637.7947166662316</v>
      </c>
      <c r="M39" s="145">
        <f>'[2]Enron Detail'!D27</f>
        <v>-1015</v>
      </c>
      <c r="N39" s="146">
        <f>'[2]Enron Detail'!C27</f>
        <v>12532</v>
      </c>
      <c r="O39" s="147">
        <f t="shared" si="3"/>
        <v>11517</v>
      </c>
      <c r="P39" s="135">
        <f t="shared" si="4"/>
        <v>2450.636917620674</v>
      </c>
      <c r="Q39" s="136">
        <f t="shared" si="5"/>
        <v>5209.995629384307</v>
      </c>
      <c r="R39" s="136">
        <f t="shared" si="6"/>
        <v>1521.8946488643178</v>
      </c>
      <c r="S39" s="136">
        <f t="shared" si="7"/>
        <v>1002.9348806660233</v>
      </c>
      <c r="T39" s="137">
        <f t="shared" si="8"/>
        <v>8626.2981729991898</v>
      </c>
      <c r="U39" s="148">
        <f t="shared" si="9"/>
        <v>18811.760249534513</v>
      </c>
    </row>
    <row r="40" spans="1:21" x14ac:dyDescent="0.2">
      <c r="A40" s="124">
        <f>+'[1]Index Pricing'!A21</f>
        <v>37179</v>
      </c>
      <c r="B40" s="125">
        <f>+'[1]Index Pricing'!B21</f>
        <v>1.94</v>
      </c>
      <c r="C40" s="139">
        <f t="shared" si="0"/>
        <v>1.94</v>
      </c>
      <c r="D40" s="140">
        <f>O40*'[1]Internal Kennedy Total'!T32</f>
        <v>1315.47645009844</v>
      </c>
      <c r="E40" s="141">
        <f>+'[1]Index Pricing'!$B$4+'Box Draw Detail'!$K$17</f>
        <v>1.4456</v>
      </c>
      <c r="F40" s="142">
        <f>O40*'[1]Internal Kennedy Total'!U32</f>
        <v>3753.1425109798579</v>
      </c>
      <c r="G40" s="141">
        <f t="shared" si="1"/>
        <v>1.05</v>
      </c>
      <c r="H40" s="143">
        <f>O40*'[1]Internal Kennedy Total'!V32</f>
        <v>1509.3888131657327</v>
      </c>
      <c r="I40" s="141">
        <f t="shared" si="2"/>
        <v>1.7828999999999999</v>
      </c>
      <c r="J40" s="144">
        <f>O40*'[1]Internal Kennedy Total'!W32</f>
        <v>585.80299358877278</v>
      </c>
      <c r="K40" s="141">
        <f>B40+$K$19+'[1]Kennedy Gas Daily Pricing'!B21</f>
        <v>1.8599999999999999</v>
      </c>
      <c r="L40" s="144">
        <f>'[1]Internal Kennedy Total'!X32*'[1]Internal Kennedy Total'!M32</f>
        <v>5227.1892321671967</v>
      </c>
      <c r="M40" s="145">
        <f>'[2]Enron Detail'!D28</f>
        <v>-903</v>
      </c>
      <c r="N40" s="146">
        <f>'[2]Enron Detail'!C28</f>
        <v>13294</v>
      </c>
      <c r="O40" s="147">
        <f t="shared" si="3"/>
        <v>12391</v>
      </c>
      <c r="P40" s="135">
        <f t="shared" si="4"/>
        <v>2552.0243131909733</v>
      </c>
      <c r="Q40" s="136">
        <f t="shared" si="5"/>
        <v>5425.5428138724828</v>
      </c>
      <c r="R40" s="136">
        <f t="shared" si="6"/>
        <v>1584.8582538240194</v>
      </c>
      <c r="S40" s="136">
        <f t="shared" si="7"/>
        <v>1044.4281572694229</v>
      </c>
      <c r="T40" s="137">
        <f t="shared" si="8"/>
        <v>9722.5719718309847</v>
      </c>
      <c r="U40" s="148">
        <f t="shared" si="9"/>
        <v>20329.425509987883</v>
      </c>
    </row>
    <row r="41" spans="1:21" x14ac:dyDescent="0.2">
      <c r="A41" s="124">
        <f>+'[1]Index Pricing'!A22</f>
        <v>37180</v>
      </c>
      <c r="B41" s="125">
        <f>+'[1]Index Pricing'!B22</f>
        <v>1.7849999999999999</v>
      </c>
      <c r="C41" s="139">
        <f t="shared" si="0"/>
        <v>1.7849999999999999</v>
      </c>
      <c r="D41" s="140">
        <f>O41*'[1]Internal Kennedy Total'!T33</f>
        <v>1350.0331230283912</v>
      </c>
      <c r="E41" s="141">
        <f>+'[1]Index Pricing'!$B$4+'Box Draw Detail'!$K$17</f>
        <v>1.4456</v>
      </c>
      <c r="F41" s="142">
        <f>O41*'[1]Internal Kennedy Total'!U33</f>
        <v>3851.7350157728706</v>
      </c>
      <c r="G41" s="141">
        <f t="shared" si="1"/>
        <v>1.05</v>
      </c>
      <c r="H41" s="143">
        <f>O41*'[1]Internal Kennedy Total'!V33</f>
        <v>1549.0394321766562</v>
      </c>
      <c r="I41" s="141">
        <f t="shared" si="2"/>
        <v>1.6278999999999999</v>
      </c>
      <c r="J41" s="144">
        <f>O41*'[1]Internal Kennedy Total'!W33</f>
        <v>601.19164037854887</v>
      </c>
      <c r="K41" s="141">
        <f>B41+$K$19+'[1]Kennedy Gas Daily Pricing'!B22</f>
        <v>1.7049999999999998</v>
      </c>
      <c r="L41" s="144">
        <f>'[1]Internal Kennedy Total'!X33*'[1]Internal Kennedy Total'!M33</f>
        <v>5265.0007886435333</v>
      </c>
      <c r="M41" s="145">
        <f>'[2]Enron Detail'!D29</f>
        <v>-1057</v>
      </c>
      <c r="N41" s="146">
        <f>'[2]Enron Detail'!C29</f>
        <v>13674</v>
      </c>
      <c r="O41" s="147">
        <f t="shared" si="3"/>
        <v>12617</v>
      </c>
      <c r="P41" s="135">
        <f t="shared" si="4"/>
        <v>2409.8091246056783</v>
      </c>
      <c r="Q41" s="136">
        <f t="shared" si="5"/>
        <v>5568.0681388012617</v>
      </c>
      <c r="R41" s="136">
        <f t="shared" si="6"/>
        <v>1626.4914037854892</v>
      </c>
      <c r="S41" s="136">
        <f t="shared" si="7"/>
        <v>978.67987137223963</v>
      </c>
      <c r="T41" s="137">
        <f t="shared" si="8"/>
        <v>8976.8263446372239</v>
      </c>
      <c r="U41" s="148">
        <f t="shared" si="9"/>
        <v>19559.874883201894</v>
      </c>
    </row>
    <row r="42" spans="1:21" x14ac:dyDescent="0.2">
      <c r="A42" s="124">
        <f>+'[1]Index Pricing'!A23</f>
        <v>37181</v>
      </c>
      <c r="B42" s="125">
        <f>+'[1]Index Pricing'!B23</f>
        <v>1.84</v>
      </c>
      <c r="C42" s="139">
        <f t="shared" si="0"/>
        <v>1.84</v>
      </c>
      <c r="D42" s="140">
        <f>O42*'[1]Internal Kennedy Total'!T34</f>
        <v>1358.048127244741</v>
      </c>
      <c r="E42" s="141">
        <f>+'[1]Index Pricing'!$B$4+'Box Draw Detail'!$K$17</f>
        <v>1.4456</v>
      </c>
      <c r="F42" s="142">
        <f>O42*'[1]Internal Kennedy Total'!U34</f>
        <v>3874.6023601847101</v>
      </c>
      <c r="G42" s="141">
        <f t="shared" si="1"/>
        <v>1.05</v>
      </c>
      <c r="H42" s="143">
        <f>O42*'[1]Internal Kennedy Total'!V34</f>
        <v>1558.2359158542843</v>
      </c>
      <c r="I42" s="141">
        <f t="shared" si="2"/>
        <v>1.6829000000000001</v>
      </c>
      <c r="J42" s="144">
        <f>O42*'[1]Internal Kennedy Total'!W34</f>
        <v>604.76085171883017</v>
      </c>
      <c r="K42" s="141">
        <f>B42+$K$19+'[1]Kennedy Gas Daily Pricing'!B23</f>
        <v>1.76</v>
      </c>
      <c r="L42" s="144">
        <f>'[1]Internal Kennedy Total'!X34*'[1]Internal Kennedy Total'!M34</f>
        <v>5190.3527449974345</v>
      </c>
      <c r="M42" s="145">
        <f>'[2]Enron Detail'!D30</f>
        <v>-1085</v>
      </c>
      <c r="N42" s="146">
        <f>'[2]Enron Detail'!C30</f>
        <v>13671</v>
      </c>
      <c r="O42" s="147">
        <f t="shared" si="3"/>
        <v>12586</v>
      </c>
      <c r="P42" s="135">
        <f t="shared" si="4"/>
        <v>2498.8085541303235</v>
      </c>
      <c r="Q42" s="136">
        <f t="shared" si="5"/>
        <v>5601.1251718830172</v>
      </c>
      <c r="R42" s="136">
        <f t="shared" si="6"/>
        <v>1636.1477116469985</v>
      </c>
      <c r="S42" s="136">
        <f t="shared" si="7"/>
        <v>1017.7520373576193</v>
      </c>
      <c r="T42" s="137">
        <f t="shared" si="8"/>
        <v>9135.0208311954848</v>
      </c>
      <c r="U42" s="148">
        <f t="shared" si="9"/>
        <v>19888.854306213441</v>
      </c>
    </row>
    <row r="43" spans="1:21" x14ac:dyDescent="0.2">
      <c r="A43" s="124">
        <f>+'[1]Index Pricing'!A24</f>
        <v>37182</v>
      </c>
      <c r="B43" s="125">
        <f>+'[1]Index Pricing'!B24</f>
        <v>2.2050000000000001</v>
      </c>
      <c r="C43" s="139">
        <f t="shared" si="0"/>
        <v>2.2050000000000001</v>
      </c>
      <c r="D43" s="140">
        <f>O43*'[1]Internal Kennedy Total'!T35</f>
        <v>1398.6731835650357</v>
      </c>
      <c r="E43" s="141">
        <f>+'[1]Index Pricing'!$B$4+'Box Draw Detail'!$K$17</f>
        <v>1.4456</v>
      </c>
      <c r="F43" s="142">
        <f>O43*'[1]Internal Kennedy Total'!U35</f>
        <v>3990.5083696577335</v>
      </c>
      <c r="G43" s="141">
        <f t="shared" si="1"/>
        <v>1.05</v>
      </c>
      <c r="H43" s="143">
        <f>O43*'[1]Internal Kennedy Total'!V35</f>
        <v>1604.8494493306853</v>
      </c>
      <c r="I43" s="141">
        <f t="shared" si="2"/>
        <v>2.0479000000000003</v>
      </c>
      <c r="J43" s="144">
        <f>O43*'[1]Internal Kennedy Total'!W35</f>
        <v>622.85184803074469</v>
      </c>
      <c r="K43" s="141">
        <f>B43+$K$19+'[1]Kennedy Gas Daily Pricing'!B24</f>
        <v>2.125</v>
      </c>
      <c r="L43" s="144">
        <f>'[1]Internal Kennedy Total'!X35*'[1]Internal Kennedy Total'!M35</f>
        <v>5276.1171494158007</v>
      </c>
      <c r="M43" s="145">
        <f>'[2]Enron Detail'!D31</f>
        <v>-1064</v>
      </c>
      <c r="N43" s="146">
        <f>'[2]Enron Detail'!C31</f>
        <v>13957</v>
      </c>
      <c r="O43" s="147">
        <f t="shared" si="3"/>
        <v>12893</v>
      </c>
      <c r="P43" s="135">
        <f t="shared" si="4"/>
        <v>3084.0743697609041</v>
      </c>
      <c r="Q43" s="136">
        <f t="shared" si="5"/>
        <v>5768.6788991772191</v>
      </c>
      <c r="R43" s="136">
        <f t="shared" si="6"/>
        <v>1685.0919217972196</v>
      </c>
      <c r="S43" s="136">
        <f t="shared" si="7"/>
        <v>1275.5382995821622</v>
      </c>
      <c r="T43" s="137">
        <f t="shared" si="8"/>
        <v>11211.748942508577</v>
      </c>
      <c r="U43" s="148">
        <f t="shared" si="9"/>
        <v>23025.132432826082</v>
      </c>
    </row>
    <row r="44" spans="1:21" x14ac:dyDescent="0.2">
      <c r="A44" s="124">
        <f>+'[1]Index Pricing'!A25</f>
        <v>37183</v>
      </c>
      <c r="B44" s="125">
        <f>+'[1]Index Pricing'!B25</f>
        <v>1.9950000000000001</v>
      </c>
      <c r="C44" s="139">
        <f t="shared" si="0"/>
        <v>1.9950000000000001</v>
      </c>
      <c r="D44" s="140">
        <f>O44*'[1]Internal Kennedy Total'!T36</f>
        <v>1302.9512266497586</v>
      </c>
      <c r="E44" s="141">
        <f>+'[1]Index Pricing'!$B$4+'Box Draw Detail'!$K$17</f>
        <v>1.4456</v>
      </c>
      <c r="F44" s="142">
        <f>O44*'[1]Internal Kennedy Total'!U36</f>
        <v>3717.4072087011655</v>
      </c>
      <c r="G44" s="141">
        <f t="shared" si="1"/>
        <v>1.05</v>
      </c>
      <c r="H44" s="143">
        <f>O44*'[1]Internal Kennedy Total'!V36</f>
        <v>1495.0172657659855</v>
      </c>
      <c r="I44" s="141">
        <f t="shared" si="2"/>
        <v>1.8379000000000001</v>
      </c>
      <c r="J44" s="144">
        <f>O44*'[1]Internal Kennedy Total'!W36</f>
        <v>580.22530849144027</v>
      </c>
      <c r="K44" s="141">
        <f>B44+$K$19+'[1]Kennedy Gas Daily Pricing'!B25</f>
        <v>1.915</v>
      </c>
      <c r="L44" s="144">
        <f>'[1]Internal Kennedy Total'!X36*'[1]Internal Kennedy Total'!M36</f>
        <v>5607.3989903916499</v>
      </c>
      <c r="M44" s="145">
        <f>'[2]Enron Detail'!D32</f>
        <v>-1015</v>
      </c>
      <c r="N44" s="146">
        <f>'[2]Enron Detail'!C32</f>
        <v>13718</v>
      </c>
      <c r="O44" s="147">
        <f t="shared" si="3"/>
        <v>12703</v>
      </c>
      <c r="P44" s="135">
        <f t="shared" si="4"/>
        <v>2599.3876971662685</v>
      </c>
      <c r="Q44" s="136">
        <f t="shared" si="5"/>
        <v>5373.8838608984051</v>
      </c>
      <c r="R44" s="136">
        <f t="shared" si="6"/>
        <v>1569.7681290542848</v>
      </c>
      <c r="S44" s="136">
        <f t="shared" si="7"/>
        <v>1066.3960944764181</v>
      </c>
      <c r="T44" s="137">
        <f t="shared" si="8"/>
        <v>10738.16906660001</v>
      </c>
      <c r="U44" s="148">
        <f t="shared" si="9"/>
        <v>21347.604848195388</v>
      </c>
    </row>
    <row r="45" spans="1:21" x14ac:dyDescent="0.2">
      <c r="A45" s="124">
        <f>+'[1]Index Pricing'!A26</f>
        <v>37184</v>
      </c>
      <c r="B45" s="125">
        <f>+'[1]Index Pricing'!B26</f>
        <v>1.81</v>
      </c>
      <c r="C45" s="139">
        <f t="shared" si="0"/>
        <v>1.81</v>
      </c>
      <c r="D45" s="140">
        <f>O45*'[1]Internal Kennedy Total'!T37</f>
        <v>1136.6029251027949</v>
      </c>
      <c r="E45" s="141">
        <f>+'[1]Index Pricing'!$B$4+'Box Draw Detail'!$K$17</f>
        <v>1.4456</v>
      </c>
      <c r="F45" s="142">
        <f>O45*'[1]Internal Kennedy Total'!U37</f>
        <v>3242.8043512205277</v>
      </c>
      <c r="G45" s="141">
        <f t="shared" si="1"/>
        <v>1.05</v>
      </c>
      <c r="H45" s="143">
        <f>O45*'[1]Internal Kennedy Total'!V37</f>
        <v>1304.1478165825222</v>
      </c>
      <c r="I45" s="141">
        <f t="shared" si="2"/>
        <v>1.6529</v>
      </c>
      <c r="J45" s="144">
        <f>O45*'[1]Internal Kennedy Total'!W37</f>
        <v>506.14771248633735</v>
      </c>
      <c r="K45" s="141">
        <f>B45+$K$19+'[1]Kennedy Gas Daily Pricing'!B26</f>
        <v>1.73</v>
      </c>
      <c r="L45" s="144">
        <f>'[1]Internal Kennedy Total'!X37*'[1]Internal Kennedy Total'!M37</f>
        <v>4194.2971946078178</v>
      </c>
      <c r="M45" s="145">
        <f>'[2]Enron Detail'!D33</f>
        <v>-1001</v>
      </c>
      <c r="N45" s="146">
        <f>'[2]Enron Detail'!C33</f>
        <v>11385</v>
      </c>
      <c r="O45" s="147">
        <f t="shared" si="3"/>
        <v>10384</v>
      </c>
      <c r="P45" s="135">
        <f t="shared" si="4"/>
        <v>2057.2512944360587</v>
      </c>
      <c r="Q45" s="136">
        <f t="shared" si="5"/>
        <v>4687.7979701243949</v>
      </c>
      <c r="R45" s="136">
        <f t="shared" si="6"/>
        <v>1369.3552074116483</v>
      </c>
      <c r="S45" s="136">
        <f t="shared" si="7"/>
        <v>836.61155396866707</v>
      </c>
      <c r="T45" s="137">
        <f t="shared" si="8"/>
        <v>7256.1341466715248</v>
      </c>
      <c r="U45" s="148">
        <f t="shared" si="9"/>
        <v>16207.150172612295</v>
      </c>
    </row>
    <row r="46" spans="1:21" x14ac:dyDescent="0.2">
      <c r="A46" s="124">
        <f>+'[1]Index Pricing'!A27</f>
        <v>37185</v>
      </c>
      <c r="B46" s="125">
        <f>+'[1]Index Pricing'!B27</f>
        <v>1.81</v>
      </c>
      <c r="C46" s="139">
        <f t="shared" si="0"/>
        <v>1.81</v>
      </c>
      <c r="D46" s="140">
        <f>O46*'[1]Internal Kennedy Total'!T38</f>
        <v>1068.5996290621724</v>
      </c>
      <c r="E46" s="141">
        <f>+'[1]Index Pricing'!$B$4+'Box Draw Detail'!$K$17</f>
        <v>1.4456</v>
      </c>
      <c r="F46" s="142">
        <f>O46*'[1]Internal Kennedy Total'!U38</f>
        <v>3048.7863881945004</v>
      </c>
      <c r="G46" s="141">
        <f t="shared" si="1"/>
        <v>1.05</v>
      </c>
      <c r="H46" s="143">
        <f>O46*'[1]Internal Kennedy Total'!V38</f>
        <v>1226.1202591188883</v>
      </c>
      <c r="I46" s="141">
        <f t="shared" si="2"/>
        <v>1.6529</v>
      </c>
      <c r="J46" s="144">
        <f>O46*'[1]Internal Kennedy Total'!W38</f>
        <v>475.86474209069161</v>
      </c>
      <c r="K46" s="141">
        <f>B46+$K$19+'[1]Kennedy Gas Daily Pricing'!B27</f>
        <v>1.73</v>
      </c>
      <c r="L46" s="144">
        <f>'[1]Internal Kennedy Total'!X38*'[1]Internal Kennedy Total'!M38</f>
        <v>3632.6289815337473</v>
      </c>
      <c r="M46" s="145">
        <f>'[2]Enron Detail'!D34</f>
        <v>-849</v>
      </c>
      <c r="N46" s="146">
        <f>'[2]Enron Detail'!C34</f>
        <v>10301</v>
      </c>
      <c r="O46" s="147">
        <f t="shared" si="3"/>
        <v>9452</v>
      </c>
      <c r="P46" s="135">
        <f t="shared" si="4"/>
        <v>1934.1653286025321</v>
      </c>
      <c r="Q46" s="136">
        <f t="shared" si="5"/>
        <v>4407.3256027739699</v>
      </c>
      <c r="R46" s="136">
        <f t="shared" si="6"/>
        <v>1287.4262720748327</v>
      </c>
      <c r="S46" s="136">
        <f t="shared" si="7"/>
        <v>786.5568322017042</v>
      </c>
      <c r="T46" s="137">
        <f t="shared" si="8"/>
        <v>6284.4481380533825</v>
      </c>
      <c r="U46" s="148">
        <f t="shared" si="9"/>
        <v>14699.922173706422</v>
      </c>
    </row>
    <row r="47" spans="1:21" x14ac:dyDescent="0.2">
      <c r="A47" s="124">
        <f>+'[1]Index Pricing'!A28</f>
        <v>37186</v>
      </c>
      <c r="B47" s="125">
        <f>+'[1]Index Pricing'!B28</f>
        <v>1.81</v>
      </c>
      <c r="C47" s="139">
        <f t="shared" si="0"/>
        <v>1.81</v>
      </c>
      <c r="D47" s="140">
        <f>O47*'[1]Internal Kennedy Total'!T39</f>
        <v>1371.2014936904454</v>
      </c>
      <c r="E47" s="141">
        <f>+'[1]Index Pricing'!$B$4+'Box Draw Detail'!$K$17</f>
        <v>1.4456</v>
      </c>
      <c r="F47" s="142">
        <f>O47*'[1]Internal Kennedy Total'!U39</f>
        <v>3912.1297965490598</v>
      </c>
      <c r="G47" s="141">
        <f t="shared" si="1"/>
        <v>1.05</v>
      </c>
      <c r="H47" s="143">
        <f>O47*'[1]Internal Kennedy Total'!V39</f>
        <v>1573.3281998454804</v>
      </c>
      <c r="I47" s="141">
        <f t="shared" si="2"/>
        <v>1.6529</v>
      </c>
      <c r="J47" s="144">
        <f>O47*'[1]Internal Kennedy Total'!W39</f>
        <v>610.61825907803245</v>
      </c>
      <c r="K47" s="141">
        <f>B47+$K$19+'[1]Kennedy Gas Daily Pricing'!B28</f>
        <v>1.73</v>
      </c>
      <c r="L47" s="144">
        <f>'[1]Internal Kennedy Total'!X39*'[1]Internal Kennedy Total'!M39</f>
        <v>5191.7222508369823</v>
      </c>
      <c r="M47" s="145">
        <f>'[2]Enron Detail'!D35</f>
        <v>-1102</v>
      </c>
      <c r="N47" s="146">
        <f>'[2]Enron Detail'!C35</f>
        <v>13761</v>
      </c>
      <c r="O47" s="147">
        <f t="shared" si="3"/>
        <v>12659</v>
      </c>
      <c r="P47" s="135">
        <f t="shared" si="4"/>
        <v>2481.8747035797064</v>
      </c>
      <c r="Q47" s="136">
        <f t="shared" si="5"/>
        <v>5655.374833891321</v>
      </c>
      <c r="R47" s="136">
        <f t="shared" si="6"/>
        <v>1651.9946098377545</v>
      </c>
      <c r="S47" s="136">
        <f t="shared" si="7"/>
        <v>1009.2909204300798</v>
      </c>
      <c r="T47" s="137">
        <f t="shared" si="8"/>
        <v>8981.6794939479787</v>
      </c>
      <c r="U47" s="148">
        <f t="shared" si="9"/>
        <v>19780.21456168684</v>
      </c>
    </row>
    <row r="48" spans="1:21" x14ac:dyDescent="0.2">
      <c r="A48" s="124">
        <f>+'[1]Index Pricing'!A29</f>
        <v>37187</v>
      </c>
      <c r="B48" s="125">
        <f>+'[1]Index Pricing'!B29</f>
        <v>2.2850000000000001</v>
      </c>
      <c r="C48" s="139">
        <f t="shared" si="0"/>
        <v>2.2850000000000001</v>
      </c>
      <c r="D48" s="140">
        <f>O48*'[1]Internal Kennedy Total'!T40</f>
        <v>1321.7382723784165</v>
      </c>
      <c r="E48" s="141">
        <f>+'[1]Index Pricing'!$B$4+'Box Draw Detail'!$K$17</f>
        <v>1.4456</v>
      </c>
      <c r="F48" s="142">
        <f>O48*'[1]Internal Kennedy Total'!U40</f>
        <v>3771.0079097815019</v>
      </c>
      <c r="G48" s="141">
        <f t="shared" si="1"/>
        <v>1.05</v>
      </c>
      <c r="H48" s="143">
        <f>O48*'[1]Internal Kennedy Total'!V40</f>
        <v>1516.5736810504607</v>
      </c>
      <c r="I48" s="141">
        <f t="shared" si="2"/>
        <v>2.1279000000000003</v>
      </c>
      <c r="J48" s="144">
        <f>O48*'[1]Internal Kennedy Total'!W40</f>
        <v>692.92270342235099</v>
      </c>
      <c r="K48" s="141">
        <f>B48+$K$19+'[1]Kennedy Gas Daily Pricing'!B29</f>
        <v>2.2250000000000001</v>
      </c>
      <c r="L48" s="144">
        <f>'[1]Internal Kennedy Total'!X40*'[1]Internal Kennedy Total'!M40</f>
        <v>4735.7574333672692</v>
      </c>
      <c r="M48" s="145">
        <f>'[2]Enron Detail'!D36</f>
        <v>-1151</v>
      </c>
      <c r="N48" s="146">
        <f>'[2]Enron Detail'!C36</f>
        <v>13189</v>
      </c>
      <c r="O48" s="147">
        <f t="shared" si="3"/>
        <v>12038</v>
      </c>
      <c r="P48" s="135">
        <f t="shared" si="4"/>
        <v>3020.1719523846818</v>
      </c>
      <c r="Q48" s="136">
        <f t="shared" si="5"/>
        <v>5451.3690343801391</v>
      </c>
      <c r="R48" s="136">
        <f t="shared" si="6"/>
        <v>1592.4023651029838</v>
      </c>
      <c r="S48" s="136">
        <f t="shared" si="7"/>
        <v>1474.4702206124209</v>
      </c>
      <c r="T48" s="137">
        <f t="shared" si="8"/>
        <v>10537.060289242174</v>
      </c>
      <c r="U48" s="148">
        <f t="shared" si="9"/>
        <v>22075.473861722399</v>
      </c>
    </row>
    <row r="49" spans="1:21" x14ac:dyDescent="0.2">
      <c r="A49" s="124">
        <f>+'[1]Index Pricing'!A30</f>
        <v>37188</v>
      </c>
      <c r="B49" s="125">
        <f>+'[1]Index Pricing'!B30</f>
        <v>2.585</v>
      </c>
      <c r="C49" s="139">
        <f t="shared" si="0"/>
        <v>2.585</v>
      </c>
      <c r="D49" s="140">
        <f>O49*'[1]Internal Kennedy Total'!T41</f>
        <v>1772.7139216738199</v>
      </c>
      <c r="E49" s="141">
        <f>+'[1]Index Pricing'!$B$4+'Box Draw Detail'!$K$17</f>
        <v>1.4456</v>
      </c>
      <c r="F49" s="142">
        <f>O49*'[1]Internal Kennedy Total'!U41</f>
        <v>5057.6716738197429</v>
      </c>
      <c r="G49" s="141">
        <f t="shared" si="1"/>
        <v>1.05</v>
      </c>
      <c r="H49" s="143">
        <f>O49*'[1]Internal Kennedy Total'!V41</f>
        <v>2034.0269581545065</v>
      </c>
      <c r="I49" s="141">
        <f t="shared" si="2"/>
        <v>2.4279000000000002</v>
      </c>
      <c r="J49" s="144">
        <f>O49*'[1]Internal Kennedy Total'!W41</f>
        <v>929.34717006437768</v>
      </c>
      <c r="K49" s="141">
        <f>B49+$K$19+'[1]Kennedy Gas Daily Pricing'!B30</f>
        <v>2.5249999999999999</v>
      </c>
      <c r="L49" s="144">
        <f>'[1]Internal Kennedy Total'!X41*'[1]Internal Kennedy Total'!M41</f>
        <v>2776.2402762875536</v>
      </c>
      <c r="M49" s="145">
        <f>'[2]Enron Detail'!D37</f>
        <v>-758</v>
      </c>
      <c r="N49" s="146">
        <f>'[2]Enron Detail'!C37</f>
        <v>13328</v>
      </c>
      <c r="O49" s="147">
        <f t="shared" si="3"/>
        <v>12570</v>
      </c>
      <c r="P49" s="135">
        <f t="shared" si="4"/>
        <v>4582.4654875268243</v>
      </c>
      <c r="Q49" s="136">
        <f t="shared" si="5"/>
        <v>7311.3701716738206</v>
      </c>
      <c r="R49" s="136">
        <f t="shared" si="6"/>
        <v>2135.7283060622317</v>
      </c>
      <c r="S49" s="136">
        <f t="shared" si="7"/>
        <v>2256.3619941993029</v>
      </c>
      <c r="T49" s="137">
        <f t="shared" si="8"/>
        <v>7010.0066976260723</v>
      </c>
      <c r="U49" s="148">
        <f t="shared" si="9"/>
        <v>23295.932657088251</v>
      </c>
    </row>
    <row r="50" spans="1:21" x14ac:dyDescent="0.2">
      <c r="A50" s="124">
        <f>+'[1]Index Pricing'!A31</f>
        <v>37189</v>
      </c>
      <c r="B50" s="125">
        <f>+'[1]Index Pricing'!B31</f>
        <v>2.4049999999999998</v>
      </c>
      <c r="C50" s="139">
        <f t="shared" si="0"/>
        <v>2.4049999999999998</v>
      </c>
      <c r="D50" s="140">
        <f>O50*'[1]Internal Kennedy Total'!T42</f>
        <v>1452.0974848222031</v>
      </c>
      <c r="E50" s="141">
        <f>+'[1]Index Pricing'!$B$4+'Box Draw Detail'!$K$17</f>
        <v>1.4456</v>
      </c>
      <c r="F50" s="142">
        <f>O50*'[1]Internal Kennedy Total'!U42</f>
        <v>4142.9314830875974</v>
      </c>
      <c r="G50" s="141">
        <f t="shared" si="1"/>
        <v>1.05</v>
      </c>
      <c r="H50" s="143">
        <f>O50*'[1]Internal Kennedy Total'!V42</f>
        <v>1666.1489447817287</v>
      </c>
      <c r="I50" s="141">
        <f t="shared" si="2"/>
        <v>2.2479</v>
      </c>
      <c r="J50" s="144">
        <f>O50*'[1]Internal Kennedy Total'!W42</f>
        <v>761.26366001734607</v>
      </c>
      <c r="K50" s="141">
        <f>B50+$K$19+'[1]Kennedy Gas Daily Pricing'!B31</f>
        <v>2.3449999999999998</v>
      </c>
      <c r="L50" s="144">
        <f>'[1]Internal Kennedy Total'!X42*'[1]Internal Kennedy Total'!M42</f>
        <v>3919.5584272911246</v>
      </c>
      <c r="M50" s="145">
        <f>'[2]Enron Detail'!D38</f>
        <v>-1626</v>
      </c>
      <c r="N50" s="146">
        <f>'[2]Enron Detail'!C38</f>
        <v>13568</v>
      </c>
      <c r="O50" s="147">
        <f t="shared" si="3"/>
        <v>11942</v>
      </c>
      <c r="P50" s="135">
        <f t="shared" si="4"/>
        <v>3492.2944509973981</v>
      </c>
      <c r="Q50" s="136">
        <f t="shared" si="5"/>
        <v>5989.0217519514308</v>
      </c>
      <c r="R50" s="136">
        <f t="shared" si="6"/>
        <v>1749.4563920208152</v>
      </c>
      <c r="S50" s="136">
        <f t="shared" si="7"/>
        <v>1711.2445813529923</v>
      </c>
      <c r="T50" s="137">
        <f t="shared" si="8"/>
        <v>9191.3645119976863</v>
      </c>
      <c r="U50" s="148">
        <f t="shared" si="9"/>
        <v>22133.381688320322</v>
      </c>
    </row>
    <row r="51" spans="1:21" x14ac:dyDescent="0.2">
      <c r="A51" s="124">
        <f>+'[1]Index Pricing'!A32</f>
        <v>37190</v>
      </c>
      <c r="B51" s="125">
        <f>+'[1]Index Pricing'!B32</f>
        <v>2.8</v>
      </c>
      <c r="C51" s="139">
        <f t="shared" si="0"/>
        <v>2.8</v>
      </c>
      <c r="D51" s="140">
        <f>O51*'[1]Internal Kennedy Total'!T43</f>
        <v>1336.3629672283002</v>
      </c>
      <c r="E51" s="141">
        <f>+'[1]Index Pricing'!$B$4+'Box Draw Detail'!$K$17</f>
        <v>1.4456</v>
      </c>
      <c r="F51" s="142">
        <f>O51*'[1]Internal Kennedy Total'!U43</f>
        <v>3812.7331447312422</v>
      </c>
      <c r="G51" s="141">
        <f t="shared" si="1"/>
        <v>1.05</v>
      </c>
      <c r="H51" s="143">
        <f>O51*'[1]Internal Kennedy Total'!V43</f>
        <v>1533.3541797060811</v>
      </c>
      <c r="I51" s="141">
        <f t="shared" si="2"/>
        <v>2.6429</v>
      </c>
      <c r="J51" s="144">
        <f>O51*'[1]Internal Kennedy Total'!W43</f>
        <v>700.58971534436569</v>
      </c>
      <c r="K51" s="141">
        <f>B51+$K$19+'[1]Kennedy Gas Daily Pricing'!B32</f>
        <v>2.6799999999999997</v>
      </c>
      <c r="L51" s="144">
        <f>'[1]Internal Kennedy Total'!X43*'[1]Internal Kennedy Total'!M43</f>
        <v>5307.9599929900105</v>
      </c>
      <c r="M51" s="145">
        <f>'[2]Enron Detail'!D39</f>
        <v>-1030</v>
      </c>
      <c r="N51" s="146">
        <f>'[2]Enron Detail'!C39</f>
        <v>13721</v>
      </c>
      <c r="O51" s="147">
        <f t="shared" si="3"/>
        <v>12691</v>
      </c>
      <c r="P51" s="135">
        <f t="shared" si="4"/>
        <v>3741.8163082392402</v>
      </c>
      <c r="Q51" s="136">
        <f t="shared" si="5"/>
        <v>5511.6870340234836</v>
      </c>
      <c r="R51" s="136">
        <f t="shared" si="6"/>
        <v>1610.0218886913854</v>
      </c>
      <c r="S51" s="136">
        <f t="shared" si="7"/>
        <v>1851.5885586836241</v>
      </c>
      <c r="T51" s="137">
        <f t="shared" si="8"/>
        <v>14225.332781213227</v>
      </c>
      <c r="U51" s="148">
        <f t="shared" si="9"/>
        <v>26940.44657085096</v>
      </c>
    </row>
    <row r="52" spans="1:21" x14ac:dyDescent="0.2">
      <c r="A52" s="124">
        <f>+'[1]Index Pricing'!A33</f>
        <v>37191</v>
      </c>
      <c r="B52" s="125">
        <f>+'[1]Index Pricing'!B33</f>
        <v>2.38</v>
      </c>
      <c r="C52" s="139">
        <f t="shared" si="0"/>
        <v>2.38</v>
      </c>
      <c r="D52" s="140">
        <f>O52*'[1]Internal Kennedy Total'!T44</f>
        <v>1359.9776159448065</v>
      </c>
      <c r="E52" s="141">
        <f>+'[1]Index Pricing'!$B$4+'Box Draw Detail'!$K$17</f>
        <v>1.4456</v>
      </c>
      <c r="F52" s="142">
        <f>O52*'[1]Internal Kennedy Total'!U44</f>
        <v>3880.1073208125717</v>
      </c>
      <c r="G52" s="141">
        <f t="shared" si="1"/>
        <v>1.05</v>
      </c>
      <c r="H52" s="143">
        <f>O52*'[1]Internal Kennedy Total'!V44</f>
        <v>1560.4498275201227</v>
      </c>
      <c r="I52" s="141">
        <f t="shared" si="2"/>
        <v>2.2229000000000001</v>
      </c>
      <c r="J52" s="144">
        <f>O52*'[1]Internal Kennedy Total'!W44</f>
        <v>712.96972019931002</v>
      </c>
      <c r="K52" s="141">
        <f>B52+$K$19+'[1]Kennedy Gas Daily Pricing'!B33</f>
        <v>2.2599999999999998</v>
      </c>
      <c r="L52" s="144">
        <f>'[1]Internal Kennedy Total'!X44*'[1]Internal Kennedy Total'!M44</f>
        <v>5140.4955155231892</v>
      </c>
      <c r="M52" s="145">
        <f>'[2]Enron Detail'!D40</f>
        <v>-1112</v>
      </c>
      <c r="N52" s="146">
        <f>'[2]Enron Detail'!C40</f>
        <v>13766</v>
      </c>
      <c r="O52" s="147">
        <f t="shared" si="3"/>
        <v>12654</v>
      </c>
      <c r="P52" s="135">
        <f t="shared" si="4"/>
        <v>3236.7467259486393</v>
      </c>
      <c r="Q52" s="136">
        <f t="shared" si="5"/>
        <v>5609.0831429666541</v>
      </c>
      <c r="R52" s="136">
        <f t="shared" si="6"/>
        <v>1638.4723188961289</v>
      </c>
      <c r="S52" s="136">
        <f t="shared" si="7"/>
        <v>1584.8603910310462</v>
      </c>
      <c r="T52" s="137">
        <f t="shared" si="8"/>
        <v>11617.519865082406</v>
      </c>
      <c r="U52" s="148">
        <f t="shared" si="9"/>
        <v>23686.682443924874</v>
      </c>
    </row>
    <row r="53" spans="1:21" x14ac:dyDescent="0.2">
      <c r="A53" s="124">
        <f>+'[1]Index Pricing'!A34</f>
        <v>37192</v>
      </c>
      <c r="B53" s="125">
        <f>+'[1]Index Pricing'!B34</f>
        <v>2.38</v>
      </c>
      <c r="C53" s="139">
        <f t="shared" si="0"/>
        <v>2.38</v>
      </c>
      <c r="D53" s="140">
        <f>O53*'[1]Internal Kennedy Total'!T45</f>
        <v>1341.1541484281736</v>
      </c>
      <c r="E53" s="141">
        <f>+'[1]Index Pricing'!$B$4+'Box Draw Detail'!$K$17</f>
        <v>1.4456</v>
      </c>
      <c r="F53" s="142">
        <f>O53*'[1]Internal Kennedy Total'!U45</f>
        <v>3826.402705929168</v>
      </c>
      <c r="G53" s="141">
        <f t="shared" si="1"/>
        <v>1.05</v>
      </c>
      <c r="H53" s="143">
        <f>O53*'[1]Internal Kennedy Total'!V45</f>
        <v>1538.8516215678471</v>
      </c>
      <c r="I53" s="141">
        <f t="shared" si="2"/>
        <v>2.2229000000000001</v>
      </c>
      <c r="J53" s="144">
        <f>O53*'[1]Internal Kennedy Total'!W45</f>
        <v>703.10149721448465</v>
      </c>
      <c r="K53" s="141">
        <f>B53+$K$19+'[1]Kennedy Gas Daily Pricing'!B34</f>
        <v>2.2599999999999998</v>
      </c>
      <c r="L53" s="144">
        <f>'[1]Internal Kennedy Total'!X45*'[1]Internal Kennedy Total'!M45</f>
        <v>5411.4900268603269</v>
      </c>
      <c r="M53" s="145">
        <f>'[2]Enron Detail'!D41</f>
        <v>-1057</v>
      </c>
      <c r="N53" s="146">
        <f>'[2]Enron Detail'!C41</f>
        <v>13878</v>
      </c>
      <c r="O53" s="147">
        <f t="shared" si="3"/>
        <v>12821</v>
      </c>
      <c r="P53" s="135">
        <f t="shared" si="4"/>
        <v>3191.9468732590531</v>
      </c>
      <c r="Q53" s="136">
        <f t="shared" si="5"/>
        <v>5531.4477516912048</v>
      </c>
      <c r="R53" s="136">
        <f t="shared" si="6"/>
        <v>1615.7942026462395</v>
      </c>
      <c r="S53" s="136">
        <f t="shared" si="7"/>
        <v>1562.924318158078</v>
      </c>
      <c r="T53" s="137">
        <f t="shared" si="8"/>
        <v>12229.967460704338</v>
      </c>
      <c r="U53" s="148">
        <f t="shared" si="9"/>
        <v>24132.080606458912</v>
      </c>
    </row>
    <row r="54" spans="1:21" x14ac:dyDescent="0.2">
      <c r="A54" s="124">
        <f>+'[1]Index Pricing'!A35</f>
        <v>37193</v>
      </c>
      <c r="B54" s="125">
        <f>+'[1]Index Pricing'!B35</f>
        <v>2.38</v>
      </c>
      <c r="C54" s="139">
        <f t="shared" si="0"/>
        <v>2.38</v>
      </c>
      <c r="D54" s="140">
        <f>O54*'[1]Internal Kennedy Total'!T46</f>
        <v>1340.7749943692286</v>
      </c>
      <c r="E54" s="141">
        <f>+'[1]Index Pricing'!$B$4+'Box Draw Detail'!$K$17</f>
        <v>1.4456</v>
      </c>
      <c r="F54" s="142">
        <f>O54*'[1]Internal Kennedy Total'!U46</f>
        <v>3825.3209539778277</v>
      </c>
      <c r="G54" s="141">
        <f t="shared" si="1"/>
        <v>1.05</v>
      </c>
      <c r="H54" s="143">
        <f>O54*'[1]Internal Kennedy Total'!V46</f>
        <v>1538.4165769914162</v>
      </c>
      <c r="I54" s="141">
        <f t="shared" si="2"/>
        <v>2.2229000000000001</v>
      </c>
      <c r="J54" s="144">
        <f>O54*'[1]Internal Kennedy Total'!W46</f>
        <v>702.90272529342576</v>
      </c>
      <c r="K54" s="141">
        <f>B54+$K$19+'[1]Kennedy Gas Daily Pricing'!B35</f>
        <v>2.2599999999999998</v>
      </c>
      <c r="L54" s="144">
        <f>'[1]Internal Kennedy Total'!X46*'[1]Internal Kennedy Total'!M46</f>
        <v>5330.5847493681031</v>
      </c>
      <c r="M54" s="145">
        <f>'[2]Enron Detail'!D42</f>
        <v>-1087</v>
      </c>
      <c r="N54" s="146">
        <f>'[2]Enron Detail'!C42</f>
        <v>13825</v>
      </c>
      <c r="O54" s="147">
        <f t="shared" si="3"/>
        <v>12738</v>
      </c>
      <c r="P54" s="135">
        <f t="shared" si="4"/>
        <v>3191.0444865987638</v>
      </c>
      <c r="Q54" s="136">
        <f t="shared" si="5"/>
        <v>5529.8839710703478</v>
      </c>
      <c r="R54" s="136">
        <f t="shared" si="6"/>
        <v>1615.337405840987</v>
      </c>
      <c r="S54" s="136">
        <f t="shared" si="7"/>
        <v>1562.4824680547563</v>
      </c>
      <c r="T54" s="137">
        <f t="shared" si="8"/>
        <v>12047.121533571912</v>
      </c>
      <c r="U54" s="148">
        <f t="shared" si="9"/>
        <v>23945.869865136767</v>
      </c>
    </row>
    <row r="55" spans="1:21" x14ac:dyDescent="0.2">
      <c r="A55" s="124">
        <f>+'[1]Index Pricing'!A36</f>
        <v>37194</v>
      </c>
      <c r="B55" s="125">
        <f>+'[1]Index Pricing'!B36</f>
        <v>2.65</v>
      </c>
      <c r="C55" s="139">
        <f t="shared" si="0"/>
        <v>2.65</v>
      </c>
      <c r="D55" s="140">
        <f>O55*'[1]Internal Kennedy Total'!T47</f>
        <v>1649.2805998247266</v>
      </c>
      <c r="E55" s="141">
        <f>+'[1]Index Pricing'!$B$4+'Box Draw Detail'!$K$17</f>
        <v>1.4456</v>
      </c>
      <c r="F55" s="142">
        <f>O55*'[1]Internal Kennedy Total'!U47</f>
        <v>4705.5081307410173</v>
      </c>
      <c r="G55" s="141">
        <f t="shared" si="1"/>
        <v>1.05</v>
      </c>
      <c r="H55" s="143">
        <f>O55*'[1]Internal Kennedy Total'!V47</f>
        <v>1892.3985199130123</v>
      </c>
      <c r="I55" s="141">
        <f t="shared" si="2"/>
        <v>2.4929000000000001</v>
      </c>
      <c r="J55" s="144">
        <f>O55*'[1]Internal Kennedy Total'!W47</f>
        <v>1007.7629913337012</v>
      </c>
      <c r="K55" s="141">
        <f>B55+$K$19+'[1]Kennedy Gas Daily Pricing'!B36</f>
        <v>2.5299999999999998</v>
      </c>
      <c r="L55" s="144">
        <f>'[1]Internal Kennedy Total'!X47*'[1]Internal Kennedy Total'!M47</f>
        <v>2826.0497581875425</v>
      </c>
      <c r="M55" s="145">
        <f>'[2]Enron Detail'!D43</f>
        <v>-1209</v>
      </c>
      <c r="N55" s="146">
        <f>'[2]Enron Detail'!C43</f>
        <v>13290</v>
      </c>
      <c r="O55" s="147">
        <f t="shared" si="3"/>
        <v>12081</v>
      </c>
      <c r="P55" s="135">
        <f t="shared" si="4"/>
        <v>4370.5935895355251</v>
      </c>
      <c r="Q55" s="136">
        <f t="shared" si="5"/>
        <v>6802.2825537992148</v>
      </c>
      <c r="R55" s="136">
        <f t="shared" si="6"/>
        <v>1987.0184459086629</v>
      </c>
      <c r="S55" s="136">
        <f t="shared" si="7"/>
        <v>2512.2523610957837</v>
      </c>
      <c r="T55" s="137">
        <f t="shared" si="8"/>
        <v>7149.9058882144818</v>
      </c>
      <c r="U55" s="148">
        <f t="shared" si="9"/>
        <v>22822.052838553667</v>
      </c>
    </row>
    <row r="56" spans="1:21" ht="13.5" thickBot="1" x14ac:dyDescent="0.25">
      <c r="A56" s="124"/>
      <c r="B56" s="125">
        <f>+'[1]Index Pricing'!B37</f>
        <v>2.64</v>
      </c>
      <c r="C56" s="150">
        <f t="shared" si="0"/>
        <v>2.64</v>
      </c>
      <c r="D56" s="151">
        <f>O56*'[1]Internal Kennedy Total'!T48</f>
        <v>1398.1884418207239</v>
      </c>
      <c r="E56" s="152">
        <f>+'[1]Index Pricing'!$B$4+'Box Draw Detail'!$K$17</f>
        <v>1.4456</v>
      </c>
      <c r="F56" s="153">
        <f>O56*'[1]Internal Kennedy Total'!U48</f>
        <v>3989.1253689606961</v>
      </c>
      <c r="G56" s="152">
        <f t="shared" si="1"/>
        <v>1.05</v>
      </c>
      <c r="H56" s="154">
        <f>O56*'[1]Internal Kennedy Total'!V48</f>
        <v>1604.29325255036</v>
      </c>
      <c r="I56" s="155">
        <f t="shared" si="2"/>
        <v>2.4829000000000003</v>
      </c>
      <c r="J56" s="156">
        <f>O56*'[1]Internal Kennedy Total'!W48</f>
        <v>933.78776345088284</v>
      </c>
      <c r="K56" s="155">
        <f>B56+$K$19+'[1]Kennedy Gas Daily Pricing'!B37</f>
        <v>2.52</v>
      </c>
      <c r="L56" s="156">
        <f>'[1]Internal Kennedy Total'!X48*'[1]Internal Kennedy Total'!M48</f>
        <v>4913.6051732173373</v>
      </c>
      <c r="M56" s="157">
        <f>'[2]Enron Detail'!D44</f>
        <v>-1067</v>
      </c>
      <c r="N56" s="158">
        <f>'[2]Enron Detail'!C44</f>
        <v>13906</v>
      </c>
      <c r="O56" s="158">
        <f t="shared" si="3"/>
        <v>12839</v>
      </c>
      <c r="P56" s="159">
        <f t="shared" si="4"/>
        <v>3691.2174864067115</v>
      </c>
      <c r="Q56" s="160">
        <f t="shared" si="5"/>
        <v>5766.679633369582</v>
      </c>
      <c r="R56" s="160">
        <f t="shared" si="6"/>
        <v>1684.507915177878</v>
      </c>
      <c r="S56" s="160">
        <f t="shared" si="7"/>
        <v>2318.5016378721971</v>
      </c>
      <c r="T56" s="161">
        <f t="shared" si="8"/>
        <v>12382.28503650769</v>
      </c>
      <c r="U56" s="162">
        <f t="shared" si="9"/>
        <v>25843.19170933406</v>
      </c>
    </row>
    <row r="57" spans="1:21" x14ac:dyDescent="0.2">
      <c r="D57" s="163">
        <f>SUM(D26:D56)</f>
        <v>41947.831007169174</v>
      </c>
      <c r="F57" s="164">
        <f>SUM(F26:F56)</f>
        <v>119679.97434285072</v>
      </c>
      <c r="H57" s="163">
        <f>SUM(H26:H56)</f>
        <v>48131.296348216463</v>
      </c>
      <c r="J57" s="165">
        <f>SUM(J26:J56)</f>
        <v>18559.932668215512</v>
      </c>
      <c r="K57" s="165"/>
      <c r="L57" s="165">
        <f t="shared" ref="L57:T57" si="10">SUM(L26:L56)</f>
        <v>145565.96563354818</v>
      </c>
      <c r="M57" s="166">
        <f t="shared" si="10"/>
        <v>-33392</v>
      </c>
      <c r="N57" s="147">
        <f t="shared" si="10"/>
        <v>407277</v>
      </c>
      <c r="O57" s="147">
        <f t="shared" si="10"/>
        <v>373885</v>
      </c>
      <c r="P57" s="167">
        <f t="shared" si="10"/>
        <v>82148.493892823957</v>
      </c>
      <c r="Q57" s="167">
        <f t="shared" si="10"/>
        <v>173009.370910025</v>
      </c>
      <c r="R57" s="167">
        <f t="shared" si="10"/>
        <v>50537.861165627291</v>
      </c>
      <c r="S57" s="167">
        <f t="shared" si="10"/>
        <v>34821.678449105755</v>
      </c>
      <c r="T57" s="167">
        <f t="shared" si="10"/>
        <v>268720.80042821891</v>
      </c>
      <c r="U57" s="168">
        <f t="shared" si="9"/>
        <v>609238.204845801</v>
      </c>
    </row>
    <row r="58" spans="1:21" x14ac:dyDescent="0.2">
      <c r="D58" s="94"/>
      <c r="F58" s="94"/>
      <c r="M58" s="94"/>
      <c r="P58" s="169"/>
      <c r="R58" s="170"/>
    </row>
    <row r="59" spans="1:21" x14ac:dyDescent="0.2">
      <c r="N59" s="105"/>
      <c r="O59" s="105"/>
      <c r="Q59" s="53" t="s">
        <v>109</v>
      </c>
      <c r="R59" s="171">
        <f>U57/N57</f>
        <v>1.4958816845679992</v>
      </c>
    </row>
    <row r="60" spans="1:21" x14ac:dyDescent="0.2">
      <c r="A60" s="58" t="s">
        <v>110</v>
      </c>
      <c r="S60" s="39"/>
    </row>
    <row r="61" spans="1:21" x14ac:dyDescent="0.2">
      <c r="U61" s="172"/>
    </row>
    <row r="62" spans="1:21" x14ac:dyDescent="0.2">
      <c r="R62" s="173"/>
      <c r="S62" s="173"/>
      <c r="U62" s="174"/>
    </row>
    <row r="63" spans="1:21" x14ac:dyDescent="0.2">
      <c r="S63" s="174"/>
    </row>
    <row r="64" spans="1:21" x14ac:dyDescent="0.2">
      <c r="S64" s="172"/>
    </row>
  </sheetData>
  <mergeCells count="1"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49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49" r:id="rId4"/>
      </mc:Fallback>
    </mc:AlternateContent>
    <mc:AlternateContent xmlns:mc="http://schemas.openxmlformats.org/markup-compatibility/2006">
      <mc:Choice Requires="x14">
        <oleObject progId="Paint.Picture" shapeId="2050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64"/>
  <sheetViews>
    <sheetView showGridLines="0" zoomScale="90" zoomScaleNormal="90" workbookViewId="0"/>
  </sheetViews>
  <sheetFormatPr defaultRowHeight="12.75" x14ac:dyDescent="0.2"/>
  <cols>
    <col min="1" max="1" width="16.7109375" style="58" customWidth="1"/>
    <col min="2" max="2" width="18.5703125" style="58" bestFit="1" customWidth="1"/>
    <col min="3" max="3" width="20.42578125" style="58" customWidth="1"/>
    <col min="4" max="4" width="17.5703125" style="58" bestFit="1" customWidth="1"/>
    <col min="5" max="5" width="21" style="58" customWidth="1"/>
    <col min="6" max="6" width="16.28515625" style="58" customWidth="1"/>
    <col min="7" max="7" width="15.5703125" style="58" customWidth="1"/>
    <col min="8" max="8" width="15.85546875" style="58" bestFit="1" customWidth="1"/>
    <col min="9" max="14" width="15.5703125" style="58" customWidth="1"/>
    <col min="15" max="15" width="14" style="58" bestFit="1" customWidth="1"/>
    <col min="16" max="16" width="13.28515625" style="58" bestFit="1" customWidth="1"/>
    <col min="17" max="17" width="13.28515625" style="58" customWidth="1"/>
    <col min="18" max="18" width="16.85546875" style="58" bestFit="1" customWidth="1"/>
    <col min="19" max="19" width="15.5703125" style="58" customWidth="1"/>
    <col min="20" max="20" width="15" style="58" customWidth="1"/>
    <col min="21" max="22" width="13.28515625" style="58" bestFit="1" customWidth="1"/>
    <col min="23" max="23" width="15" style="58" bestFit="1" customWidth="1"/>
    <col min="24" max="24" width="15" style="58" customWidth="1"/>
    <col min="25" max="25" width="12.140625" style="58" bestFit="1" customWidth="1"/>
    <col min="26" max="26" width="13.28515625" style="58" bestFit="1" customWidth="1"/>
    <col min="27" max="27" width="15" style="58" bestFit="1" customWidth="1"/>
    <col min="28" max="28" width="9.140625" style="58"/>
    <col min="29" max="29" width="11.140625" style="58" bestFit="1" customWidth="1"/>
    <col min="30" max="16384" width="9.140625" style="58"/>
  </cols>
  <sheetData>
    <row r="1" spans="1:19" x14ac:dyDescent="0.2">
      <c r="A1" s="57" t="s">
        <v>50</v>
      </c>
      <c r="B1" s="57" t="s">
        <v>51</v>
      </c>
      <c r="C1" s="57" t="s">
        <v>52</v>
      </c>
      <c r="F1" s="58" t="s">
        <v>53</v>
      </c>
      <c r="H1" s="57"/>
      <c r="I1" s="57"/>
      <c r="J1" s="57"/>
      <c r="K1" s="57"/>
      <c r="L1" s="57"/>
      <c r="M1" s="57"/>
      <c r="N1" s="57"/>
      <c r="O1" s="57"/>
      <c r="S1" s="59">
        <f ca="1">NOW()</f>
        <v>41887.550705671296</v>
      </c>
    </row>
    <row r="2" spans="1:19" x14ac:dyDescent="0.2">
      <c r="A2" s="60">
        <f>+'[1]Index Pricing'!A1</f>
        <v>37165</v>
      </c>
      <c r="B2" s="57" t="s">
        <v>54</v>
      </c>
      <c r="C2" s="57" t="s">
        <v>55</v>
      </c>
      <c r="H2" s="57"/>
      <c r="I2" s="57"/>
      <c r="J2" s="57"/>
      <c r="K2" s="57"/>
      <c r="L2" s="57"/>
      <c r="M2" s="57"/>
      <c r="N2" s="57"/>
      <c r="O2" s="57"/>
    </row>
    <row r="3" spans="1:19" x14ac:dyDescent="0.2">
      <c r="A3" s="60"/>
      <c r="B3" s="57" t="s">
        <v>56</v>
      </c>
      <c r="C3" s="57" t="s">
        <v>57</v>
      </c>
      <c r="F3" s="58" t="s">
        <v>58</v>
      </c>
      <c r="G3" s="58" t="s">
        <v>59</v>
      </c>
      <c r="H3" s="57"/>
      <c r="I3" s="57"/>
      <c r="J3" s="57"/>
      <c r="K3" s="57"/>
      <c r="L3" s="57"/>
      <c r="M3" s="57"/>
      <c r="N3" s="57"/>
      <c r="O3" s="57"/>
    </row>
    <row r="4" spans="1:19" x14ac:dyDescent="0.2">
      <c r="A4" s="60"/>
      <c r="B4" s="57"/>
      <c r="C4" s="57"/>
      <c r="H4" s="57"/>
      <c r="I4" s="57"/>
      <c r="J4" s="57"/>
      <c r="K4" s="57"/>
      <c r="L4" s="57"/>
      <c r="M4" s="57"/>
      <c r="N4" s="57"/>
      <c r="O4" s="57"/>
    </row>
    <row r="5" spans="1:19" x14ac:dyDescent="0.2">
      <c r="A5" s="60" t="s">
        <v>60</v>
      </c>
      <c r="B5" s="57"/>
      <c r="C5" s="61">
        <f>+'[1]Index Pricing'!B4</f>
        <v>1.7</v>
      </c>
      <c r="H5" s="57"/>
      <c r="I5" s="57"/>
      <c r="J5" s="57"/>
      <c r="K5" s="57"/>
      <c r="L5" s="57"/>
      <c r="M5" s="57"/>
      <c r="N5" s="57"/>
      <c r="O5" s="57"/>
    </row>
    <row r="6" spans="1:19" ht="12" customHeight="1" x14ac:dyDescent="0.2">
      <c r="A6" s="60" t="s">
        <v>61</v>
      </c>
      <c r="B6" s="57"/>
      <c r="C6" s="61">
        <f>+'[1]Index Pricing'!B3</f>
        <v>1.05</v>
      </c>
      <c r="H6" s="57"/>
      <c r="I6" s="57"/>
      <c r="J6" s="57"/>
      <c r="K6" s="57"/>
      <c r="L6" s="57"/>
      <c r="M6" s="57"/>
      <c r="N6" s="57"/>
      <c r="O6" s="57"/>
    </row>
    <row r="7" spans="1:19" x14ac:dyDescent="0.2">
      <c r="A7" s="62" t="s">
        <v>62</v>
      </c>
      <c r="C7" s="63">
        <f>+'[1]Internal Kennedy Total'!C7</f>
        <v>21032</v>
      </c>
      <c r="D7" s="57" t="s">
        <v>63</v>
      </c>
    </row>
    <row r="8" spans="1:19" x14ac:dyDescent="0.2">
      <c r="A8" s="62" t="s">
        <v>64</v>
      </c>
      <c r="C8" s="63">
        <f>+'[1]Internal Kennedy Total'!C8</f>
        <v>21893</v>
      </c>
      <c r="D8" s="57" t="s">
        <v>63</v>
      </c>
    </row>
    <row r="9" spans="1:19" ht="13.5" thickBot="1" x14ac:dyDescent="0.25">
      <c r="A9" s="62"/>
      <c r="C9" s="64"/>
    </row>
    <row r="10" spans="1:19" x14ac:dyDescent="0.2">
      <c r="A10" s="65"/>
      <c r="B10" s="66" t="s">
        <v>65</v>
      </c>
      <c r="C10" s="67" t="s">
        <v>66</v>
      </c>
      <c r="D10" s="67" t="s">
        <v>67</v>
      </c>
      <c r="E10" s="68" t="s">
        <v>68</v>
      </c>
    </row>
    <row r="11" spans="1:19" x14ac:dyDescent="0.2">
      <c r="A11" s="69" t="s">
        <v>47</v>
      </c>
      <c r="B11" s="70">
        <f>'[2]Enron Detail'!$F$9</f>
        <v>0.95527378927009843</v>
      </c>
      <c r="C11" s="71">
        <f>+C7*D11</f>
        <v>14313.745171831948</v>
      </c>
      <c r="D11" s="72">
        <f>'[1]Internal Kennedy Total'!H8</f>
        <v>0.68056985411905424</v>
      </c>
      <c r="E11" s="73">
        <v>0</v>
      </c>
    </row>
    <row r="12" spans="1:19" ht="13.5" thickBot="1" x14ac:dyDescent="0.25">
      <c r="A12" s="74" t="s">
        <v>43</v>
      </c>
      <c r="B12" s="75">
        <f>'[2]Enron Detail'!$C$9</f>
        <v>0.95551770493880162</v>
      </c>
      <c r="C12" s="76">
        <f>+C7-C11</f>
        <v>6718.254828168052</v>
      </c>
      <c r="D12" s="77">
        <f>'[1]Internal Kennedy Total'!H7</f>
        <v>0.31943014588094576</v>
      </c>
      <c r="E12" s="78">
        <v>0</v>
      </c>
    </row>
    <row r="13" spans="1:19" x14ac:dyDescent="0.2">
      <c r="A13" s="79"/>
      <c r="I13" s="80"/>
    </row>
    <row r="14" spans="1:19" ht="13.5" thickBot="1" x14ac:dyDescent="0.25">
      <c r="A14" s="79"/>
    </row>
    <row r="15" spans="1:19" s="86" customFormat="1" ht="57" customHeight="1" x14ac:dyDescent="0.2">
      <c r="A15" s="81" t="s">
        <v>111</v>
      </c>
      <c r="B15" s="82"/>
      <c r="C15" s="82" t="s">
        <v>70</v>
      </c>
      <c r="D15" s="82" t="s">
        <v>112</v>
      </c>
      <c r="E15" s="82" t="s">
        <v>72</v>
      </c>
      <c r="F15" s="83" t="str">
        <f>"WIC Med.Bow Fuel ("&amp;'[1]Index Pricing'!$F$3*100&amp;"%*CIGindex)"</f>
        <v>WIC Med.Bow Fuel (0.68%*CIGindex)</v>
      </c>
      <c r="G15" s="82" t="s">
        <v>73</v>
      </c>
      <c r="H15" s="82" t="s">
        <v>74</v>
      </c>
      <c r="I15" s="82" t="s">
        <v>75</v>
      </c>
      <c r="J15" s="84"/>
      <c r="K15" s="85" t="s">
        <v>76</v>
      </c>
    </row>
    <row r="16" spans="1:19" x14ac:dyDescent="0.2">
      <c r="A16" s="87" t="s">
        <v>77</v>
      </c>
      <c r="B16" s="88" t="s">
        <v>78</v>
      </c>
      <c r="C16" s="89">
        <v>0</v>
      </c>
      <c r="D16" s="88">
        <f>-$E$11</f>
        <v>0</v>
      </c>
      <c r="E16" s="88"/>
      <c r="F16" s="88"/>
      <c r="G16" s="88"/>
      <c r="H16" s="88"/>
      <c r="I16" s="88">
        <f>+-M57*D16/(O57)</f>
        <v>0</v>
      </c>
      <c r="J16" s="90"/>
      <c r="K16" s="91">
        <f>ROUND(SUM(C16:J16),4)</f>
        <v>0</v>
      </c>
    </row>
    <row r="17" spans="1:23" x14ac:dyDescent="0.2">
      <c r="A17" s="87" t="s">
        <v>77</v>
      </c>
      <c r="B17" s="88" t="s">
        <v>79</v>
      </c>
      <c r="C17" s="89">
        <v>0.01</v>
      </c>
      <c r="D17" s="88">
        <f>-$E$11</f>
        <v>0</v>
      </c>
      <c r="E17" s="88">
        <f>-0.13-0.0025-0.0022</f>
        <v>-0.13470000000000001</v>
      </c>
      <c r="F17" s="88">
        <f>-'[1]Index Pricing'!$F$3*'[1]Index Pricing'!B3</f>
        <v>-7.1399999999999996E-3</v>
      </c>
      <c r="G17" s="88">
        <v>-0.1226</v>
      </c>
      <c r="H17" s="88">
        <v>0</v>
      </c>
      <c r="I17" s="88">
        <f>+I16</f>
        <v>0</v>
      </c>
      <c r="J17" s="90"/>
      <c r="K17" s="91">
        <f>ROUND(SUM(C17:J17),4)</f>
        <v>-0.25440000000000002</v>
      </c>
    </row>
    <row r="18" spans="1:23" x14ac:dyDescent="0.2">
      <c r="A18" s="87" t="s">
        <v>77</v>
      </c>
      <c r="B18" s="88" t="s">
        <v>80</v>
      </c>
      <c r="C18" s="89">
        <v>0</v>
      </c>
      <c r="D18" s="88">
        <f>-$E$11</f>
        <v>0</v>
      </c>
      <c r="E18" s="88"/>
      <c r="F18" s="88"/>
      <c r="G18" s="88"/>
      <c r="H18" s="88"/>
      <c r="I18" s="88">
        <f>+I17</f>
        <v>0</v>
      </c>
      <c r="J18" s="90"/>
      <c r="K18" s="91">
        <f>ROUND(SUM(C18:J18),4)</f>
        <v>0</v>
      </c>
    </row>
    <row r="19" spans="1:23" x14ac:dyDescent="0.2">
      <c r="A19" s="87" t="s">
        <v>81</v>
      </c>
      <c r="B19" s="88" t="s">
        <v>78</v>
      </c>
      <c r="C19" s="92" t="s">
        <v>82</v>
      </c>
      <c r="D19" s="88">
        <f>-$E$11</f>
        <v>0</v>
      </c>
      <c r="E19" s="88"/>
      <c r="F19" s="88"/>
      <c r="G19" s="88"/>
      <c r="H19" s="88"/>
      <c r="I19" s="88">
        <f>I18</f>
        <v>0</v>
      </c>
      <c r="J19" s="90"/>
      <c r="K19" s="91">
        <f>ROUND(SUM(C19:J19),4)</f>
        <v>0</v>
      </c>
      <c r="L19" s="93"/>
      <c r="N19" s="94"/>
      <c r="O19" s="94"/>
    </row>
    <row r="20" spans="1:23" x14ac:dyDescent="0.2">
      <c r="A20" s="87" t="s">
        <v>81</v>
      </c>
      <c r="B20" s="88" t="s">
        <v>78</v>
      </c>
      <c r="C20" s="89">
        <v>0.1</v>
      </c>
      <c r="D20" s="88">
        <f>D18</f>
        <v>0</v>
      </c>
      <c r="E20" s="88">
        <v>-0.25</v>
      </c>
      <c r="F20" s="88">
        <f>-'[1]Index Pricing'!$F$3*'[1]Index Pricing'!B3</f>
        <v>-7.1399999999999996E-3</v>
      </c>
      <c r="G20" s="88"/>
      <c r="H20" s="88"/>
      <c r="I20" s="88">
        <f>I19</f>
        <v>0</v>
      </c>
      <c r="J20" s="90"/>
      <c r="K20" s="91">
        <f>ROUND(SUM(C20:J20),4)</f>
        <v>-0.15709999999999999</v>
      </c>
      <c r="L20" s="93"/>
    </row>
    <row r="21" spans="1:23" ht="13.5" thickBot="1" x14ac:dyDescent="0.25">
      <c r="A21" s="175"/>
      <c r="B21" s="175"/>
      <c r="C21" s="176"/>
      <c r="D21" s="175"/>
      <c r="E21" s="175"/>
      <c r="F21" s="175"/>
      <c r="G21" s="175"/>
      <c r="H21" s="175"/>
      <c r="I21" s="175"/>
      <c r="J21" s="177"/>
      <c r="K21" s="177"/>
      <c r="L21" s="177"/>
      <c r="M21" s="178"/>
      <c r="N21" s="93"/>
    </row>
    <row r="22" spans="1:23" ht="23.25" thickBot="1" x14ac:dyDescent="0.5">
      <c r="C22" s="188" t="s">
        <v>113</v>
      </c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/>
      <c r="W22"/>
    </row>
    <row r="23" spans="1:23" s="86" customFormat="1" ht="57" customHeight="1" x14ac:dyDescent="0.2">
      <c r="B23" s="99"/>
      <c r="C23" s="100" t="s">
        <v>84</v>
      </c>
      <c r="D23" s="101" t="s">
        <v>85</v>
      </c>
      <c r="E23" s="100" t="s">
        <v>86</v>
      </c>
      <c r="F23" s="101" t="s">
        <v>87</v>
      </c>
      <c r="G23" s="100" t="s">
        <v>88</v>
      </c>
      <c r="H23" s="101" t="s">
        <v>89</v>
      </c>
      <c r="I23" s="100" t="s">
        <v>90</v>
      </c>
      <c r="J23" s="101" t="s">
        <v>91</v>
      </c>
      <c r="K23" s="100" t="s">
        <v>92</v>
      </c>
      <c r="L23" s="101" t="s">
        <v>93</v>
      </c>
      <c r="M23" s="102" t="s">
        <v>114</v>
      </c>
      <c r="N23" s="102" t="s">
        <v>115</v>
      </c>
      <c r="O23" s="103" t="s">
        <v>96</v>
      </c>
      <c r="P23" s="185" t="s">
        <v>116</v>
      </c>
      <c r="Q23" s="186"/>
      <c r="R23" s="186"/>
      <c r="S23" s="186"/>
      <c r="T23" s="187"/>
      <c r="U23" s="104"/>
      <c r="V23"/>
      <c r="W23"/>
    </row>
    <row r="24" spans="1:23" x14ac:dyDescent="0.2">
      <c r="B24" s="113"/>
      <c r="C24" s="179"/>
      <c r="D24" s="113"/>
      <c r="E24" s="179"/>
      <c r="F24" s="142">
        <f>IF(+C7*0.8&gt;12000,12000,+C7*0.8)</f>
        <v>12000</v>
      </c>
      <c r="G24" s="179"/>
      <c r="H24" s="113"/>
      <c r="I24" s="107"/>
      <c r="J24" s="106"/>
      <c r="K24" s="107"/>
      <c r="L24" s="106"/>
      <c r="M24" s="180" t="s">
        <v>98</v>
      </c>
      <c r="N24" s="180"/>
      <c r="O24" s="181"/>
      <c r="P24" s="111"/>
      <c r="Q24" s="112"/>
      <c r="R24" s="112"/>
      <c r="S24" s="112"/>
      <c r="T24" s="113"/>
      <c r="U24" s="182"/>
    </row>
    <row r="25" spans="1:23" s="86" customFormat="1" ht="26.25" thickBot="1" x14ac:dyDescent="0.25">
      <c r="B25" s="99" t="s">
        <v>99</v>
      </c>
      <c r="C25" s="115" t="s">
        <v>100</v>
      </c>
      <c r="D25" s="99"/>
      <c r="E25" s="116" t="s">
        <v>101</v>
      </c>
      <c r="F25" s="117"/>
      <c r="G25" s="115" t="s">
        <v>102</v>
      </c>
      <c r="H25" s="99"/>
      <c r="I25" s="115" t="s">
        <v>100</v>
      </c>
      <c r="J25" s="99"/>
      <c r="K25" s="115" t="s">
        <v>100</v>
      </c>
      <c r="L25" s="99"/>
      <c r="M25" s="118"/>
      <c r="N25" s="118"/>
      <c r="O25" s="119"/>
      <c r="P25" s="120" t="s">
        <v>103</v>
      </c>
      <c r="Q25" s="121" t="s">
        <v>104</v>
      </c>
      <c r="R25" s="121" t="s">
        <v>105</v>
      </c>
      <c r="S25" s="121" t="s">
        <v>106</v>
      </c>
      <c r="T25" s="122" t="s">
        <v>107</v>
      </c>
      <c r="U25" s="123" t="s">
        <v>108</v>
      </c>
    </row>
    <row r="26" spans="1:23" x14ac:dyDescent="0.2">
      <c r="A26" s="124">
        <f>+'[1]Index Pricing'!A7</f>
        <v>37165</v>
      </c>
      <c r="B26" s="125">
        <f>+'[1]Index Pricing'!B7</f>
        <v>1.32</v>
      </c>
      <c r="C26" s="126">
        <f t="shared" ref="C26:C56" si="0">+B26+$K$16</f>
        <v>1.32</v>
      </c>
      <c r="D26" s="127">
        <f>O26*'[1]Internal Kennedy Total'!T18</f>
        <v>2918.1036670276962</v>
      </c>
      <c r="E26" s="128">
        <f>+'[1]Index Pricing'!$B$4+'S Kitty Detail'!$K$17</f>
        <v>1.4456</v>
      </c>
      <c r="F26" s="129">
        <f>O26*'[1]Internal Kennedy Total'!U18</f>
        <v>8325.5454123472064</v>
      </c>
      <c r="G26" s="128">
        <f t="shared" ref="G26:G56" si="1">$C$6+$K$18</f>
        <v>1.05</v>
      </c>
      <c r="H26" s="130">
        <f>O26*'[1]Internal Kennedy Total'!V18</f>
        <v>3348.2568466656353</v>
      </c>
      <c r="I26" s="128">
        <f t="shared" ref="I26:I56" si="2">B26+$K$20</f>
        <v>1.1629</v>
      </c>
      <c r="J26" s="131">
        <f>O26*'[1]Internal Kennedy Total'!W18</f>
        <v>1033.7552220331115</v>
      </c>
      <c r="K26" s="128">
        <f>B26+$K$19+'[1]Kennedy Gas Daily Pricing'!B7</f>
        <v>1.1700000000000002</v>
      </c>
      <c r="L26" s="131">
        <f>O26*'[1]Internal Kennedy Total'!X18</f>
        <v>11278.33885192635</v>
      </c>
      <c r="M26" s="132">
        <f>'[2]Enron Detail'!G14</f>
        <v>-2523</v>
      </c>
      <c r="N26" s="133">
        <f>'[2]Enron Detail'!F14</f>
        <v>29427</v>
      </c>
      <c r="O26" s="134">
        <f t="shared" ref="O26:O56" si="3">SUM(M26:N26)</f>
        <v>26904</v>
      </c>
      <c r="P26" s="135">
        <f t="shared" ref="P26:P56" si="4">+C26*D26</f>
        <v>3851.8968404765592</v>
      </c>
      <c r="Q26" s="136">
        <f t="shared" ref="Q26:Q56" si="5">+E26*F26</f>
        <v>12035.408448089122</v>
      </c>
      <c r="R26" s="136">
        <f t="shared" ref="R26:R56" si="6">+G26*H26</f>
        <v>3515.6696889989171</v>
      </c>
      <c r="S26" s="136">
        <f t="shared" ref="S26:S56" si="7">I26*J26</f>
        <v>1202.1539477023055</v>
      </c>
      <c r="T26" s="137">
        <f t="shared" ref="T26:T56" si="8">K26*L26</f>
        <v>13195.656456753832</v>
      </c>
      <c r="U26" s="138">
        <f t="shared" ref="U26:U57" si="9">SUM(P26:T26)</f>
        <v>33800.785382020738</v>
      </c>
      <c r="W26" s="183"/>
    </row>
    <row r="27" spans="1:23" x14ac:dyDescent="0.2">
      <c r="A27" s="124">
        <f t="shared" ref="A27:A56" si="10">+A26+1</f>
        <v>37166</v>
      </c>
      <c r="B27" s="125">
        <f>+'[1]Index Pricing'!B8</f>
        <v>1.35</v>
      </c>
      <c r="C27" s="139">
        <f t="shared" si="0"/>
        <v>1.35</v>
      </c>
      <c r="D27" s="140">
        <f>O27*'[1]Internal Kennedy Total'!T19</f>
        <v>2898.3019257394585</v>
      </c>
      <c r="E27" s="141">
        <f>+'[1]Index Pricing'!$B$4+'S Kitty Detail'!$K$17</f>
        <v>1.4456</v>
      </c>
      <c r="F27" s="142">
        <f>O27*'[1]Internal Kennedy Total'!U19</f>
        <v>8269.0497168030215</v>
      </c>
      <c r="G27" s="141">
        <f t="shared" si="1"/>
        <v>1.05</v>
      </c>
      <c r="H27" s="143">
        <f>O27*'[1]Internal Kennedy Total'!V19</f>
        <v>3325.536161107615</v>
      </c>
      <c r="I27" s="141">
        <f t="shared" si="2"/>
        <v>1.1929000000000001</v>
      </c>
      <c r="J27" s="144">
        <f>O27*'[1]Internal Kennedy Total'!W19</f>
        <v>1026.7403398363749</v>
      </c>
      <c r="K27" s="141">
        <f>B27+$K$19+'[1]Kennedy Gas Daily Pricing'!B8</f>
        <v>1.25</v>
      </c>
      <c r="L27" s="144">
        <f>O27*'[1]Internal Kennedy Total'!X19</f>
        <v>11854.371856513531</v>
      </c>
      <c r="M27" s="145">
        <f>'[2]Enron Detail'!G15</f>
        <v>-1977</v>
      </c>
      <c r="N27" s="146">
        <f>'[2]Enron Detail'!F15</f>
        <v>29351</v>
      </c>
      <c r="O27" s="147">
        <f t="shared" si="3"/>
        <v>27374</v>
      </c>
      <c r="P27" s="135">
        <f t="shared" si="4"/>
        <v>3912.7075997482693</v>
      </c>
      <c r="Q27" s="136">
        <f t="shared" si="5"/>
        <v>11953.738270610447</v>
      </c>
      <c r="R27" s="136">
        <f t="shared" si="6"/>
        <v>3491.8129691629961</v>
      </c>
      <c r="S27" s="136">
        <f t="shared" si="7"/>
        <v>1224.7985513908118</v>
      </c>
      <c r="T27" s="137">
        <f t="shared" si="8"/>
        <v>14817.964820641915</v>
      </c>
      <c r="U27" s="148">
        <f t="shared" si="9"/>
        <v>35401.022211554446</v>
      </c>
    </row>
    <row r="28" spans="1:23" x14ac:dyDescent="0.2">
      <c r="A28" s="124">
        <f t="shared" si="10"/>
        <v>37167</v>
      </c>
      <c r="B28" s="125">
        <f>+'[1]Index Pricing'!B9</f>
        <v>1.32</v>
      </c>
      <c r="C28" s="139">
        <f t="shared" si="0"/>
        <v>1.32</v>
      </c>
      <c r="D28" s="140">
        <f>O28*'[1]Internal Kennedy Total'!T20</f>
        <v>2301.5098579138671</v>
      </c>
      <c r="E28" s="141">
        <f>+'[1]Index Pricing'!$B$4+'S Kitty Detail'!$K$17</f>
        <v>1.4456</v>
      </c>
      <c r="F28" s="142">
        <f>O28*'[1]Internal Kennedy Total'!U20</f>
        <v>6566.3619341337153</v>
      </c>
      <c r="G28" s="141">
        <f t="shared" si="1"/>
        <v>1.05</v>
      </c>
      <c r="H28" s="143">
        <f>O28*'[1]Internal Kennedy Total'!V20</f>
        <v>2640.7718911774423</v>
      </c>
      <c r="I28" s="141">
        <f t="shared" si="2"/>
        <v>1.1629</v>
      </c>
      <c r="J28" s="144">
        <f>O28*'[1]Internal Kennedy Total'!W20</f>
        <v>815.32327348826971</v>
      </c>
      <c r="K28" s="141">
        <f>B28+$K$19+'[1]Kennedy Gas Daily Pricing'!B9</f>
        <v>1.24</v>
      </c>
      <c r="L28" s="144">
        <f>O28*'[1]Internal Kennedy Total'!X20</f>
        <v>2580.0330432867054</v>
      </c>
      <c r="M28" s="145">
        <f>'[2]Enron Detail'!G16</f>
        <v>-1486</v>
      </c>
      <c r="N28" s="146">
        <f>'[2]Enron Detail'!F16</f>
        <v>16390</v>
      </c>
      <c r="O28" s="147">
        <f t="shared" si="3"/>
        <v>14904</v>
      </c>
      <c r="P28" s="135">
        <f t="shared" si="4"/>
        <v>3037.9930124463049</v>
      </c>
      <c r="Q28" s="136">
        <f t="shared" si="5"/>
        <v>9492.3328119836988</v>
      </c>
      <c r="R28" s="136">
        <f t="shared" si="6"/>
        <v>2772.8104857363146</v>
      </c>
      <c r="S28" s="136">
        <f t="shared" si="7"/>
        <v>948.13943473950883</v>
      </c>
      <c r="T28" s="137">
        <f t="shared" si="8"/>
        <v>3199.2409736755149</v>
      </c>
      <c r="U28" s="148">
        <f t="shared" si="9"/>
        <v>19450.516718581341</v>
      </c>
    </row>
    <row r="29" spans="1:23" x14ac:dyDescent="0.2">
      <c r="A29" s="124">
        <f t="shared" si="10"/>
        <v>37168</v>
      </c>
      <c r="B29" s="125">
        <f>+'[1]Index Pricing'!B10</f>
        <v>1.57</v>
      </c>
      <c r="C29" s="139">
        <f t="shared" si="0"/>
        <v>1.57</v>
      </c>
      <c r="D29" s="140">
        <f>O29*'[1]Internal Kennedy Total'!T21</f>
        <v>2797.6364525860895</v>
      </c>
      <c r="E29" s="141">
        <f>+'[1]Index Pricing'!$B$4+'S Kitty Detail'!$K$17</f>
        <v>1.4456</v>
      </c>
      <c r="F29" s="142">
        <f>O29*'[1]Internal Kennedy Total'!U21</f>
        <v>7981.8443725708694</v>
      </c>
      <c r="G29" s="141">
        <f t="shared" si="1"/>
        <v>1.05</v>
      </c>
      <c r="H29" s="143">
        <f>O29*'[1]Internal Kennedy Total'!V21</f>
        <v>3210.031745168918</v>
      </c>
      <c r="I29" s="141">
        <f t="shared" si="2"/>
        <v>1.4129</v>
      </c>
      <c r="J29" s="144">
        <f>O29*'[1]Internal Kennedy Total'!W21</f>
        <v>991.07900959421636</v>
      </c>
      <c r="K29" s="141">
        <f>B29+$K$19+'[1]Kennedy Gas Daily Pricing'!B10</f>
        <v>1.49</v>
      </c>
      <c r="L29" s="144">
        <f>O29*'[1]Internal Kennedy Total'!X21</f>
        <v>9492.4084200799061</v>
      </c>
      <c r="M29" s="145">
        <f>'[2]Enron Detail'!G17</f>
        <v>-2121</v>
      </c>
      <c r="N29" s="146">
        <f>'[2]Enron Detail'!F17</f>
        <v>26594</v>
      </c>
      <c r="O29" s="147">
        <f t="shared" si="3"/>
        <v>24473</v>
      </c>
      <c r="P29" s="135">
        <f t="shared" si="4"/>
        <v>4392.2892305601608</v>
      </c>
      <c r="Q29" s="136">
        <f t="shared" si="5"/>
        <v>11538.554224988449</v>
      </c>
      <c r="R29" s="136">
        <f t="shared" si="6"/>
        <v>3370.5333324273638</v>
      </c>
      <c r="S29" s="136">
        <f t="shared" si="7"/>
        <v>1400.2955326556682</v>
      </c>
      <c r="T29" s="137">
        <f t="shared" si="8"/>
        <v>14143.68854591906</v>
      </c>
      <c r="U29" s="148">
        <f t="shared" si="9"/>
        <v>34845.360866550705</v>
      </c>
    </row>
    <row r="30" spans="1:23" x14ac:dyDescent="0.2">
      <c r="A30" s="124">
        <f t="shared" si="10"/>
        <v>37169</v>
      </c>
      <c r="B30" s="125">
        <f>+'[1]Index Pricing'!B11</f>
        <v>1.6950000000000001</v>
      </c>
      <c r="C30" s="139">
        <f t="shared" si="0"/>
        <v>1.6950000000000001</v>
      </c>
      <c r="D30" s="140">
        <f>O30*'[1]Internal Kennedy Total'!T22</f>
        <v>2865.3166577150309</v>
      </c>
      <c r="E30" s="141">
        <f>+'[1]Index Pricing'!$B$4+'S Kitty Detail'!$K$17</f>
        <v>1.4456</v>
      </c>
      <c r="F30" s="142">
        <f>O30*'[1]Internal Kennedy Total'!U22</f>
        <v>8174.9405355635699</v>
      </c>
      <c r="G30" s="141">
        <f t="shared" si="1"/>
        <v>1.05</v>
      </c>
      <c r="H30" s="143">
        <f>O30*'[1]Internal Kennedy Total'!V22</f>
        <v>3287.6885853858157</v>
      </c>
      <c r="I30" s="141">
        <f t="shared" si="2"/>
        <v>1.5379</v>
      </c>
      <c r="J30" s="144">
        <f>O30*'[1]Internal Kennedy Total'!W22</f>
        <v>1015.0551164991433</v>
      </c>
      <c r="K30" s="141">
        <f>B30+$K$19+'[1]Kennedy Gas Daily Pricing'!B11</f>
        <v>1.615</v>
      </c>
      <c r="L30" s="144">
        <f>O30*'[1]Internal Kennedy Total'!X22</f>
        <v>11292.999104836441</v>
      </c>
      <c r="M30" s="145">
        <f>'[2]Enron Detail'!G18</f>
        <v>-2118</v>
      </c>
      <c r="N30" s="146">
        <f>'[2]Enron Detail'!F18</f>
        <v>28754</v>
      </c>
      <c r="O30" s="147">
        <f t="shared" si="3"/>
        <v>26636</v>
      </c>
      <c r="P30" s="135">
        <f t="shared" si="4"/>
        <v>4856.7117348269776</v>
      </c>
      <c r="Q30" s="136">
        <f t="shared" si="5"/>
        <v>11817.694038210697</v>
      </c>
      <c r="R30" s="136">
        <f t="shared" si="6"/>
        <v>3452.0730146551068</v>
      </c>
      <c r="S30" s="136">
        <f t="shared" si="7"/>
        <v>1561.0532636640326</v>
      </c>
      <c r="T30" s="137">
        <f t="shared" si="8"/>
        <v>18238.193554310852</v>
      </c>
      <c r="U30" s="148">
        <f t="shared" si="9"/>
        <v>39925.725605667663</v>
      </c>
    </row>
    <row r="31" spans="1:23" x14ac:dyDescent="0.2">
      <c r="A31" s="124">
        <f t="shared" si="10"/>
        <v>37170</v>
      </c>
      <c r="B31" s="125">
        <f>+'[1]Index Pricing'!B12</f>
        <v>1.61</v>
      </c>
      <c r="C31" s="139">
        <f t="shared" si="0"/>
        <v>1.61</v>
      </c>
      <c r="D31" s="140">
        <f>O31*'[1]Internal Kennedy Total'!T23</f>
        <v>2868.135864034195</v>
      </c>
      <c r="E31" s="141">
        <f>+'[1]Index Pricing'!$B$4+'S Kitty Detail'!$K$17</f>
        <v>1.4456</v>
      </c>
      <c r="F31" s="142">
        <f>O31*'[1]Internal Kennedy Total'!U23</f>
        <v>8182.9839202116827</v>
      </c>
      <c r="G31" s="141">
        <f t="shared" si="1"/>
        <v>1.05</v>
      </c>
      <c r="H31" s="143">
        <f>O31*'[1]Internal Kennedy Total'!V23</f>
        <v>3290.9233665784654</v>
      </c>
      <c r="I31" s="141">
        <f t="shared" si="2"/>
        <v>1.4529000000000001</v>
      </c>
      <c r="J31" s="144">
        <f>O31*'[1]Internal Kennedy Total'!W23</f>
        <v>1016.0538367596173</v>
      </c>
      <c r="K31" s="141">
        <f>B31+$K$19+'[1]Kennedy Gas Daily Pricing'!B12</f>
        <v>1.4900000000000002</v>
      </c>
      <c r="L31" s="144">
        <f>O31*'[1]Internal Kennedy Total'!X23</f>
        <v>11443.90301241604</v>
      </c>
      <c r="M31" s="145">
        <f>'[2]Enron Detail'!G19</f>
        <v>-2208</v>
      </c>
      <c r="N31" s="146">
        <f>'[2]Enron Detail'!F19</f>
        <v>29010</v>
      </c>
      <c r="O31" s="147">
        <f t="shared" si="3"/>
        <v>26802</v>
      </c>
      <c r="P31" s="135">
        <f t="shared" si="4"/>
        <v>4617.6987410950542</v>
      </c>
      <c r="Q31" s="136">
        <f t="shared" si="5"/>
        <v>11829.321555058008</v>
      </c>
      <c r="R31" s="136">
        <f t="shared" si="6"/>
        <v>3455.4695349073891</v>
      </c>
      <c r="S31" s="136">
        <f t="shared" si="7"/>
        <v>1476.2246194280481</v>
      </c>
      <c r="T31" s="137">
        <f t="shared" si="8"/>
        <v>17051.415488499901</v>
      </c>
      <c r="U31" s="148">
        <f t="shared" si="9"/>
        <v>38430.129938988401</v>
      </c>
    </row>
    <row r="32" spans="1:23" x14ac:dyDescent="0.2">
      <c r="A32" s="124">
        <f t="shared" si="10"/>
        <v>37171</v>
      </c>
      <c r="B32" s="149">
        <f>+'[1]Index Pricing'!B13</f>
        <v>1.61</v>
      </c>
      <c r="C32" s="139">
        <f t="shared" si="0"/>
        <v>1.61</v>
      </c>
      <c r="D32" s="140">
        <f>O32*'[1]Internal Kennedy Total'!T24</f>
        <v>2864.5866192712961</v>
      </c>
      <c r="E32" s="141">
        <f>+'[1]Index Pricing'!$B$4+'S Kitty Detail'!$K$17</f>
        <v>1.4456</v>
      </c>
      <c r="F32" s="142">
        <f>O32*'[1]Internal Kennedy Total'!U24</f>
        <v>8172.8576869366507</v>
      </c>
      <c r="G32" s="141">
        <f t="shared" si="1"/>
        <v>1.05</v>
      </c>
      <c r="H32" s="143">
        <f>O32*'[1]Internal Kennedy Total'!V24</f>
        <v>3286.8509330963566</v>
      </c>
      <c r="I32" s="141">
        <f t="shared" si="2"/>
        <v>1.4529000000000001</v>
      </c>
      <c r="J32" s="144">
        <f>O32*'[1]Internal Kennedy Total'!W24</f>
        <v>1014.7964961279675</v>
      </c>
      <c r="K32" s="141">
        <f>B32+$K$19+'[1]Kennedy Gas Daily Pricing'!B13</f>
        <v>1.4900000000000002</v>
      </c>
      <c r="L32" s="144">
        <f>O32*'[1]Internal Kennedy Total'!X24</f>
        <v>11484.908264567728</v>
      </c>
      <c r="M32" s="145">
        <f>'[2]Enron Detail'!G20</f>
        <v>-2215</v>
      </c>
      <c r="N32" s="146">
        <f>'[2]Enron Detail'!F20</f>
        <v>29039</v>
      </c>
      <c r="O32" s="147">
        <f t="shared" si="3"/>
        <v>26824</v>
      </c>
      <c r="P32" s="135">
        <f t="shared" si="4"/>
        <v>4611.9844570267869</v>
      </c>
      <c r="Q32" s="136">
        <f t="shared" si="5"/>
        <v>11814.683072235623</v>
      </c>
      <c r="R32" s="136">
        <f t="shared" si="6"/>
        <v>3451.1934797511744</v>
      </c>
      <c r="S32" s="136">
        <f t="shared" si="7"/>
        <v>1474.3978292243241</v>
      </c>
      <c r="T32" s="137">
        <f t="shared" si="8"/>
        <v>17112.513314205917</v>
      </c>
      <c r="U32" s="148">
        <f t="shared" si="9"/>
        <v>38464.772152443824</v>
      </c>
    </row>
    <row r="33" spans="1:21" x14ac:dyDescent="0.2">
      <c r="A33" s="124">
        <f t="shared" si="10"/>
        <v>37172</v>
      </c>
      <c r="B33" s="125">
        <f>+'[1]Index Pricing'!B14</f>
        <v>1.61</v>
      </c>
      <c r="C33" s="139">
        <f t="shared" si="0"/>
        <v>1.61</v>
      </c>
      <c r="D33" s="140">
        <f>O33*'[1]Internal Kennedy Total'!T25</f>
        <v>2863.3631916845002</v>
      </c>
      <c r="E33" s="141">
        <f>+'[1]Index Pricing'!$B$4+'S Kitty Detail'!$K$17</f>
        <v>1.4456</v>
      </c>
      <c r="F33" s="142">
        <f>O33*'[1]Internal Kennedy Total'!U25</f>
        <v>8169.3671660042801</v>
      </c>
      <c r="G33" s="141">
        <f t="shared" si="1"/>
        <v>1.05</v>
      </c>
      <c r="H33" s="143">
        <f>O33*'[1]Internal Kennedy Total'!V25</f>
        <v>3285.4471619280548</v>
      </c>
      <c r="I33" s="141">
        <f t="shared" si="2"/>
        <v>1.4529000000000001</v>
      </c>
      <c r="J33" s="144">
        <f>O33*'[1]Internal Kennedy Total'!W25</f>
        <v>1014.3630897788648</v>
      </c>
      <c r="K33" s="141">
        <f>B33+$K$19+'[1]Kennedy Gas Daily Pricing'!B14</f>
        <v>1.4900000000000002</v>
      </c>
      <c r="L33" s="144">
        <f>O33*'[1]Internal Kennedy Total'!X25</f>
        <v>11389.459390604299</v>
      </c>
      <c r="M33" s="145">
        <f>'[2]Enron Detail'!G21</f>
        <v>-2004</v>
      </c>
      <c r="N33" s="146">
        <f>'[2]Enron Detail'!F21</f>
        <v>28726</v>
      </c>
      <c r="O33" s="147">
        <f t="shared" si="3"/>
        <v>26722</v>
      </c>
      <c r="P33" s="135">
        <f t="shared" si="4"/>
        <v>4610.0147386120452</v>
      </c>
      <c r="Q33" s="136">
        <f t="shared" si="5"/>
        <v>11809.637175175787</v>
      </c>
      <c r="R33" s="136">
        <f t="shared" si="6"/>
        <v>3449.7195200244578</v>
      </c>
      <c r="S33" s="136">
        <f t="shared" si="7"/>
        <v>1473.7681331397127</v>
      </c>
      <c r="T33" s="137">
        <f t="shared" si="8"/>
        <v>16970.294492000408</v>
      </c>
      <c r="U33" s="148">
        <f t="shared" si="9"/>
        <v>38313.434058952407</v>
      </c>
    </row>
    <row r="34" spans="1:21" x14ac:dyDescent="0.2">
      <c r="A34" s="124">
        <f t="shared" si="10"/>
        <v>37173</v>
      </c>
      <c r="B34" s="125">
        <f>+'[1]Index Pricing'!B15</f>
        <v>1.5249999999999999</v>
      </c>
      <c r="C34" s="139">
        <f t="shared" si="0"/>
        <v>1.5249999999999999</v>
      </c>
      <c r="D34" s="140">
        <f>O34*'[1]Internal Kennedy Total'!T26</f>
        <v>2966.1472839175808</v>
      </c>
      <c r="E34" s="141">
        <f>+'[1]Index Pricing'!$B$4+'S Kitty Detail'!$K$17</f>
        <v>1.4456</v>
      </c>
      <c r="F34" s="142">
        <f>O34*'[1]Internal Kennedy Total'!U26</f>
        <v>8462.6170725180618</v>
      </c>
      <c r="G34" s="141">
        <f t="shared" si="1"/>
        <v>1.05</v>
      </c>
      <c r="H34" s="143">
        <f>O34*'[1]Internal Kennedy Total'!V26</f>
        <v>3403.3824993310141</v>
      </c>
      <c r="I34" s="141">
        <f t="shared" si="2"/>
        <v>1.3678999999999999</v>
      </c>
      <c r="J34" s="144">
        <f>O34*'[1]Internal Kennedy Total'!W26</f>
        <v>1050.7749531709928</v>
      </c>
      <c r="K34" s="141">
        <f>B34+$K$19+'[1]Kennedy Gas Daily Pricing'!B15</f>
        <v>1.4249999999999998</v>
      </c>
      <c r="L34" s="144">
        <f>O34*'[1]Internal Kennedy Total'!X26</f>
        <v>10471.07819106235</v>
      </c>
      <c r="M34" s="145">
        <f>'[2]Enron Detail'!G22</f>
        <v>-2539</v>
      </c>
      <c r="N34" s="146">
        <f>'[2]Enron Detail'!F22</f>
        <v>28893</v>
      </c>
      <c r="O34" s="147">
        <f t="shared" si="3"/>
        <v>26354</v>
      </c>
      <c r="P34" s="135">
        <f t="shared" si="4"/>
        <v>4523.3746079743105</v>
      </c>
      <c r="Q34" s="136">
        <f t="shared" si="5"/>
        <v>12233.559240032109</v>
      </c>
      <c r="R34" s="136">
        <f t="shared" si="6"/>
        <v>3573.551624297565</v>
      </c>
      <c r="S34" s="136">
        <f t="shared" si="7"/>
        <v>1437.3550584426009</v>
      </c>
      <c r="T34" s="137">
        <f t="shared" si="8"/>
        <v>14921.286422263847</v>
      </c>
      <c r="U34" s="148">
        <f t="shared" si="9"/>
        <v>36689.126953010433</v>
      </c>
    </row>
    <row r="35" spans="1:21" x14ac:dyDescent="0.2">
      <c r="A35" s="124">
        <f t="shared" si="10"/>
        <v>37174</v>
      </c>
      <c r="B35" s="125">
        <f>+'[1]Index Pricing'!B16</f>
        <v>1.46</v>
      </c>
      <c r="C35" s="139">
        <f t="shared" si="0"/>
        <v>1.46</v>
      </c>
      <c r="D35" s="140">
        <f>O35*'[1]Internal Kennedy Total'!T27</f>
        <v>2878.4704675963903</v>
      </c>
      <c r="E35" s="141">
        <f>+'[1]Index Pricing'!$B$4+'S Kitty Detail'!$K$17</f>
        <v>1.4456</v>
      </c>
      <c r="F35" s="142">
        <f>O35*'[1]Internal Kennedy Total'!U27</f>
        <v>8212.4692370795747</v>
      </c>
      <c r="G35" s="141">
        <f t="shared" si="1"/>
        <v>1.05</v>
      </c>
      <c r="H35" s="143">
        <f>O35*'[1]Internal Kennedy Total'!V27</f>
        <v>3302.781378178835</v>
      </c>
      <c r="I35" s="141">
        <f t="shared" si="2"/>
        <v>1.3028999999999999</v>
      </c>
      <c r="J35" s="144">
        <f>O35*'[1]Internal Kennedy Total'!W27</f>
        <v>1019.7149302707137</v>
      </c>
      <c r="K35" s="141">
        <f>B35+$K$19+'[1]Kennedy Gas Daily Pricing'!B16</f>
        <v>1.3599999999999999</v>
      </c>
      <c r="L35" s="144">
        <f>O35*'[1]Internal Kennedy Total'!X27</f>
        <v>11282.563986874487</v>
      </c>
      <c r="M35" s="145">
        <f>'[2]Enron Detail'!G23</f>
        <v>-2172</v>
      </c>
      <c r="N35" s="146">
        <f>'[2]Enron Detail'!F23</f>
        <v>28868</v>
      </c>
      <c r="O35" s="147">
        <f t="shared" si="3"/>
        <v>26696</v>
      </c>
      <c r="P35" s="135">
        <f t="shared" si="4"/>
        <v>4202.5668826907295</v>
      </c>
      <c r="Q35" s="136">
        <f t="shared" si="5"/>
        <v>11871.945529122233</v>
      </c>
      <c r="R35" s="136">
        <f t="shared" si="6"/>
        <v>3467.9204470877767</v>
      </c>
      <c r="S35" s="136">
        <f t="shared" si="7"/>
        <v>1328.5865826497129</v>
      </c>
      <c r="T35" s="137">
        <f t="shared" si="8"/>
        <v>15344.287022149301</v>
      </c>
      <c r="U35" s="148">
        <f t="shared" si="9"/>
        <v>36215.306463699751</v>
      </c>
    </row>
    <row r="36" spans="1:21" x14ac:dyDescent="0.2">
      <c r="A36" s="124">
        <f t="shared" si="10"/>
        <v>37175</v>
      </c>
      <c r="B36" s="125">
        <f>+'[1]Index Pricing'!B17</f>
        <v>1.73</v>
      </c>
      <c r="C36" s="139">
        <f t="shared" si="0"/>
        <v>1.73</v>
      </c>
      <c r="D36" s="140">
        <f>O36*'[1]Internal Kennedy Total'!T28</f>
        <v>2942.352657128914</v>
      </c>
      <c r="E36" s="141">
        <f>+'[1]Index Pricing'!$B$4+'S Kitty Detail'!$K$17</f>
        <v>1.4456</v>
      </c>
      <c r="F36" s="142">
        <f>O36*'[1]Internal Kennedy Total'!U28</f>
        <v>8394.7294069298532</v>
      </c>
      <c r="G36" s="141">
        <f t="shared" si="1"/>
        <v>1.05</v>
      </c>
      <c r="H36" s="143">
        <f>O36*'[1]Internal Kennedy Total'!V28</f>
        <v>3376.0803431536233</v>
      </c>
      <c r="I36" s="141">
        <f t="shared" si="2"/>
        <v>1.5729</v>
      </c>
      <c r="J36" s="144">
        <f>O36*'[1]Internal Kennedy Total'!W28</f>
        <v>1042.3455680271236</v>
      </c>
      <c r="K36" s="141">
        <f>B36+$K$19+'[1]Kennedy Gas Daily Pricing'!B17</f>
        <v>1.65</v>
      </c>
      <c r="L36" s="144">
        <f>O36*'[1]Internal Kennedy Total'!X28</f>
        <v>11480.492024760486</v>
      </c>
      <c r="M36" s="145">
        <f>'[2]Enron Detail'!G24</f>
        <v>-2113</v>
      </c>
      <c r="N36" s="146">
        <f>'[2]Enron Detail'!F24</f>
        <v>29349</v>
      </c>
      <c r="O36" s="147">
        <f t="shared" si="3"/>
        <v>27236</v>
      </c>
      <c r="P36" s="135">
        <f t="shared" si="4"/>
        <v>5090.2700968330209</v>
      </c>
      <c r="Q36" s="136">
        <f t="shared" si="5"/>
        <v>12135.420830657797</v>
      </c>
      <c r="R36" s="136">
        <f t="shared" si="6"/>
        <v>3544.8843603113046</v>
      </c>
      <c r="S36" s="136">
        <f t="shared" si="7"/>
        <v>1639.5053439498627</v>
      </c>
      <c r="T36" s="137">
        <f t="shared" si="8"/>
        <v>18942.8118408548</v>
      </c>
      <c r="U36" s="148">
        <f t="shared" si="9"/>
        <v>41352.892472606785</v>
      </c>
    </row>
    <row r="37" spans="1:21" x14ac:dyDescent="0.2">
      <c r="A37" s="124">
        <f t="shared" si="10"/>
        <v>37176</v>
      </c>
      <c r="B37" s="125">
        <f>+'[1]Index Pricing'!B18</f>
        <v>2.0449999999999999</v>
      </c>
      <c r="C37" s="139">
        <f t="shared" si="0"/>
        <v>2.0449999999999999</v>
      </c>
      <c r="D37" s="140">
        <f>O37*'[1]Internal Kennedy Total'!T29</f>
        <v>2967.3346871239473</v>
      </c>
      <c r="E37" s="141">
        <f>+'[1]Index Pricing'!$B$4+'S Kitty Detail'!$K$17</f>
        <v>1.4456</v>
      </c>
      <c r="F37" s="142">
        <f>O37*'[1]Internal Kennedy Total'!U29</f>
        <v>8466.0048134777389</v>
      </c>
      <c r="G37" s="141">
        <f t="shared" si="1"/>
        <v>1.05</v>
      </c>
      <c r="H37" s="143">
        <f>O37*'[1]Internal Kennedy Total'!V29</f>
        <v>3404.7449358202966</v>
      </c>
      <c r="I37" s="141">
        <f t="shared" si="2"/>
        <v>1.8878999999999999</v>
      </c>
      <c r="J37" s="144">
        <f>O37*'[1]Internal Kennedy Total'!W29</f>
        <v>1051.1955976734857</v>
      </c>
      <c r="K37" s="141">
        <f>B37+$K$19+'[1]Kennedy Gas Daily Pricing'!B18</f>
        <v>1.9649999999999999</v>
      </c>
      <c r="L37" s="144">
        <f>O37*'[1]Internal Kennedy Total'!X29</f>
        <v>12251.719965904533</v>
      </c>
      <c r="M37" s="145">
        <f>'[2]Enron Detail'!G25</f>
        <v>-2200</v>
      </c>
      <c r="N37" s="146">
        <f>'[2]Enron Detail'!F25</f>
        <v>30341</v>
      </c>
      <c r="O37" s="147">
        <f t="shared" si="3"/>
        <v>28141</v>
      </c>
      <c r="P37" s="135">
        <f t="shared" si="4"/>
        <v>6068.1994351684725</v>
      </c>
      <c r="Q37" s="136">
        <f t="shared" si="5"/>
        <v>12238.456558363419</v>
      </c>
      <c r="R37" s="136">
        <f t="shared" si="6"/>
        <v>3574.9821826113116</v>
      </c>
      <c r="S37" s="136">
        <f t="shared" si="7"/>
        <v>1984.5521688477736</v>
      </c>
      <c r="T37" s="137">
        <f t="shared" si="8"/>
        <v>24074.629733002406</v>
      </c>
      <c r="U37" s="148">
        <f t="shared" si="9"/>
        <v>47940.820077993383</v>
      </c>
    </row>
    <row r="38" spans="1:21" x14ac:dyDescent="0.2">
      <c r="A38" s="124">
        <f t="shared" si="10"/>
        <v>37177</v>
      </c>
      <c r="B38" s="125">
        <f>+'[1]Index Pricing'!B19</f>
        <v>1.94</v>
      </c>
      <c r="C38" s="139">
        <f t="shared" si="0"/>
        <v>1.94</v>
      </c>
      <c r="D38" s="140">
        <f>O38*'[1]Internal Kennedy Total'!T30</f>
        <v>3135.9991720140761</v>
      </c>
      <c r="E38" s="141">
        <f>+'[1]Index Pricing'!$B$4+'S Kitty Detail'!$K$17</f>
        <v>1.4456</v>
      </c>
      <c r="F38" s="142">
        <f>O38*'[1]Internal Kennedy Total'!U30</f>
        <v>8947.2158973297464</v>
      </c>
      <c r="G38" s="141">
        <f t="shared" si="1"/>
        <v>1.05</v>
      </c>
      <c r="H38" s="143">
        <f>O38*'[1]Internal Kennedy Total'!V30</f>
        <v>3598.2719933761127</v>
      </c>
      <c r="I38" s="141">
        <f t="shared" si="2"/>
        <v>1.7828999999999999</v>
      </c>
      <c r="J38" s="144">
        <f>O38*'[1]Internal Kennedy Total'!W30</f>
        <v>1396.5112813082178</v>
      </c>
      <c r="K38" s="141">
        <f>B38+$K$19+'[1]Kennedy Gas Daily Pricing'!B19</f>
        <v>1.8599999999999999</v>
      </c>
      <c r="L38" s="144">
        <f>O38*'[1]Internal Kennedy Total'!X30</f>
        <v>8136.0016559718488</v>
      </c>
      <c r="M38" s="145">
        <f>'[2]Enron Detail'!G26</f>
        <v>-1893</v>
      </c>
      <c r="N38" s="146">
        <f>'[2]Enron Detail'!F26</f>
        <v>27107</v>
      </c>
      <c r="O38" s="147">
        <f t="shared" si="3"/>
        <v>25214</v>
      </c>
      <c r="P38" s="135">
        <f t="shared" si="4"/>
        <v>6083.8383937073077</v>
      </c>
      <c r="Q38" s="136">
        <f t="shared" si="5"/>
        <v>12934.095301179881</v>
      </c>
      <c r="R38" s="136">
        <f t="shared" si="6"/>
        <v>3778.1855930449187</v>
      </c>
      <c r="S38" s="136">
        <f t="shared" si="7"/>
        <v>2489.8399634444213</v>
      </c>
      <c r="T38" s="137">
        <f t="shared" si="8"/>
        <v>15132.963080107638</v>
      </c>
      <c r="U38" s="148">
        <f t="shared" si="9"/>
        <v>40418.922331484166</v>
      </c>
    </row>
    <row r="39" spans="1:21" x14ac:dyDescent="0.2">
      <c r="A39" s="124">
        <f t="shared" si="10"/>
        <v>37178</v>
      </c>
      <c r="B39" s="125">
        <f>+'[1]Index Pricing'!B20</f>
        <v>1.94</v>
      </c>
      <c r="C39" s="139">
        <f t="shared" si="0"/>
        <v>1.94</v>
      </c>
      <c r="D39" s="140">
        <f>O39*'[1]Internal Kennedy Total'!T31</f>
        <v>2942.7850940099615</v>
      </c>
      <c r="E39" s="141">
        <f>+'[1]Index Pricing'!$B$4+'S Kitty Detail'!$K$17</f>
        <v>1.4456</v>
      </c>
      <c r="F39" s="142">
        <f>O39*'[1]Internal Kennedy Total'!U31</f>
        <v>8395.9631783451132</v>
      </c>
      <c r="G39" s="141">
        <f t="shared" si="1"/>
        <v>1.05</v>
      </c>
      <c r="H39" s="143">
        <f>O39*'[1]Internal Kennedy Total'!V31</f>
        <v>3376.5765248911257</v>
      </c>
      <c r="I39" s="141">
        <f t="shared" si="2"/>
        <v>1.7828999999999999</v>
      </c>
      <c r="J39" s="144">
        <f>O39*'[1]Internal Kennedy Total'!W31</f>
        <v>1310.4699194200327</v>
      </c>
      <c r="K39" s="141">
        <f>B39+$K$19+'[1]Kennedy Gas Daily Pricing'!B20</f>
        <v>1.8599999999999999</v>
      </c>
      <c r="L39" s="144">
        <f>O39*'[1]Internal Kennedy Total'!X31</f>
        <v>10804.205283333768</v>
      </c>
      <c r="M39" s="145">
        <f>'[2]Enron Detail'!G27</f>
        <v>-2342</v>
      </c>
      <c r="N39" s="146">
        <f>'[2]Enron Detail'!F27</f>
        <v>29172</v>
      </c>
      <c r="O39" s="147">
        <f t="shared" si="3"/>
        <v>26830</v>
      </c>
      <c r="P39" s="135">
        <f t="shared" si="4"/>
        <v>5709.003082379325</v>
      </c>
      <c r="Q39" s="136">
        <f t="shared" si="5"/>
        <v>12137.204370615696</v>
      </c>
      <c r="R39" s="136">
        <f t="shared" si="6"/>
        <v>3545.4053511356819</v>
      </c>
      <c r="S39" s="136">
        <f t="shared" si="7"/>
        <v>2336.4368193339765</v>
      </c>
      <c r="T39" s="137">
        <f t="shared" si="8"/>
        <v>20095.821827000807</v>
      </c>
      <c r="U39" s="148">
        <f t="shared" si="9"/>
        <v>43823.871450465493</v>
      </c>
    </row>
    <row r="40" spans="1:21" x14ac:dyDescent="0.2">
      <c r="A40" s="124">
        <f t="shared" si="10"/>
        <v>37179</v>
      </c>
      <c r="B40" s="125">
        <f>+'[1]Index Pricing'!B21</f>
        <v>1.94</v>
      </c>
      <c r="C40" s="139">
        <f t="shared" si="0"/>
        <v>1.94</v>
      </c>
      <c r="D40" s="140">
        <f>O40*'[1]Internal Kennedy Total'!T32</f>
        <v>2890.5235499015598</v>
      </c>
      <c r="E40" s="141">
        <f>+'[1]Index Pricing'!$B$4+'S Kitty Detail'!$K$17</f>
        <v>1.4456</v>
      </c>
      <c r="F40" s="142">
        <f>O40*'[1]Internal Kennedy Total'!U32</f>
        <v>8246.8574890201435</v>
      </c>
      <c r="G40" s="141">
        <f t="shared" si="1"/>
        <v>1.05</v>
      </c>
      <c r="H40" s="143">
        <f>O40*'[1]Internal Kennedy Total'!V32</f>
        <v>3316.6111868342673</v>
      </c>
      <c r="I40" s="141">
        <f t="shared" si="2"/>
        <v>1.7828999999999999</v>
      </c>
      <c r="J40" s="144">
        <f>O40*'[1]Internal Kennedy Total'!W32</f>
        <v>1287.1970064112272</v>
      </c>
      <c r="K40" s="141">
        <f>B40+$K$19+'[1]Kennedy Gas Daily Pricing'!B21</f>
        <v>1.8599999999999999</v>
      </c>
      <c r="L40" s="144">
        <f>O40*'[1]Internal Kennedy Total'!X32</f>
        <v>11485.810767832803</v>
      </c>
      <c r="M40" s="145">
        <f>'[2]Enron Detail'!G28</f>
        <v>-2031</v>
      </c>
      <c r="N40" s="146">
        <f>'[2]Enron Detail'!F28</f>
        <v>29258</v>
      </c>
      <c r="O40" s="147">
        <f t="shared" si="3"/>
        <v>27227</v>
      </c>
      <c r="P40" s="135">
        <f t="shared" si="4"/>
        <v>5607.6156868090256</v>
      </c>
      <c r="Q40" s="136">
        <f t="shared" si="5"/>
        <v>11921.657186127519</v>
      </c>
      <c r="R40" s="136">
        <f t="shared" si="6"/>
        <v>3482.4417461759808</v>
      </c>
      <c r="S40" s="136">
        <f t="shared" si="7"/>
        <v>2294.9435427305771</v>
      </c>
      <c r="T40" s="137">
        <f t="shared" si="8"/>
        <v>21363.608028169012</v>
      </c>
      <c r="U40" s="148">
        <f t="shared" si="9"/>
        <v>44670.266190012117</v>
      </c>
    </row>
    <row r="41" spans="1:21" x14ac:dyDescent="0.2">
      <c r="A41" s="124">
        <f t="shared" si="10"/>
        <v>37180</v>
      </c>
      <c r="B41" s="125">
        <f>+'[1]Index Pricing'!B22</f>
        <v>1.7849999999999999</v>
      </c>
      <c r="C41" s="139">
        <f t="shared" si="0"/>
        <v>1.7849999999999999</v>
      </c>
      <c r="D41" s="140">
        <f>O41*'[1]Internal Kennedy Total'!T33</f>
        <v>2855.9668769716091</v>
      </c>
      <c r="E41" s="141">
        <f>+'[1]Index Pricing'!$B$4+'S Kitty Detail'!$K$17</f>
        <v>1.4456</v>
      </c>
      <c r="F41" s="142">
        <f>O41*'[1]Internal Kennedy Total'!U33</f>
        <v>8148.2649842271285</v>
      </c>
      <c r="G41" s="141">
        <f t="shared" si="1"/>
        <v>1.05</v>
      </c>
      <c r="H41" s="143">
        <f>O41*'[1]Internal Kennedy Total'!V33</f>
        <v>3276.9605678233438</v>
      </c>
      <c r="I41" s="141">
        <f t="shared" si="2"/>
        <v>1.6278999999999999</v>
      </c>
      <c r="J41" s="144">
        <f>O41*'[1]Internal Kennedy Total'!W33</f>
        <v>1271.808359621451</v>
      </c>
      <c r="K41" s="141">
        <f>B41+$K$19+'[1]Kennedy Gas Daily Pricing'!B22</f>
        <v>1.7049999999999998</v>
      </c>
      <c r="L41" s="144">
        <f>O41*'[1]Internal Kennedy Total'!X33</f>
        <v>11137.999211356468</v>
      </c>
      <c r="M41" s="145">
        <f>'[2]Enron Detail'!G29</f>
        <v>-2160</v>
      </c>
      <c r="N41" s="146">
        <f>'[2]Enron Detail'!F29</f>
        <v>28851</v>
      </c>
      <c r="O41" s="147">
        <f t="shared" si="3"/>
        <v>26691</v>
      </c>
      <c r="P41" s="135">
        <f t="shared" si="4"/>
        <v>5097.9008753943217</v>
      </c>
      <c r="Q41" s="136">
        <f t="shared" si="5"/>
        <v>11779.131861198737</v>
      </c>
      <c r="R41" s="136">
        <f t="shared" si="6"/>
        <v>3440.808596214511</v>
      </c>
      <c r="S41" s="136">
        <f t="shared" si="7"/>
        <v>2070.37682862776</v>
      </c>
      <c r="T41" s="137">
        <f t="shared" si="8"/>
        <v>18990.288655362776</v>
      </c>
      <c r="U41" s="148">
        <f t="shared" si="9"/>
        <v>41378.506816798108</v>
      </c>
    </row>
    <row r="42" spans="1:21" x14ac:dyDescent="0.2">
      <c r="A42" s="124">
        <f t="shared" si="10"/>
        <v>37181</v>
      </c>
      <c r="B42" s="125">
        <f>+'[1]Index Pricing'!B23</f>
        <v>1.84</v>
      </c>
      <c r="C42" s="139">
        <f t="shared" si="0"/>
        <v>1.84</v>
      </c>
      <c r="D42" s="140">
        <f>O42*'[1]Internal Kennedy Total'!T34</f>
        <v>2847.951872755259</v>
      </c>
      <c r="E42" s="141">
        <f>+'[1]Index Pricing'!$B$4+'S Kitty Detail'!$K$17</f>
        <v>1.4456</v>
      </c>
      <c r="F42" s="142">
        <f>O42*'[1]Internal Kennedy Total'!U34</f>
        <v>8125.3976398152899</v>
      </c>
      <c r="G42" s="141">
        <f t="shared" si="1"/>
        <v>1.05</v>
      </c>
      <c r="H42" s="143">
        <f>O42*'[1]Internal Kennedy Total'!V34</f>
        <v>3267.764084145716</v>
      </c>
      <c r="I42" s="141">
        <f t="shared" si="2"/>
        <v>1.6829000000000001</v>
      </c>
      <c r="J42" s="144">
        <f>O42*'[1]Internal Kennedy Total'!W34</f>
        <v>1268.2391482811697</v>
      </c>
      <c r="K42" s="141">
        <f>B42+$K$19+'[1]Kennedy Gas Daily Pricing'!B23</f>
        <v>1.76</v>
      </c>
      <c r="L42" s="144">
        <f>O42*'[1]Internal Kennedy Total'!X34</f>
        <v>10884.647255002565</v>
      </c>
      <c r="M42" s="145">
        <f>'[2]Enron Detail'!G30</f>
        <v>-2156</v>
      </c>
      <c r="N42" s="146">
        <f>'[2]Enron Detail'!F30</f>
        <v>28550</v>
      </c>
      <c r="O42" s="147">
        <f t="shared" si="3"/>
        <v>26394</v>
      </c>
      <c r="P42" s="135">
        <f t="shared" si="4"/>
        <v>5240.2314458696765</v>
      </c>
      <c r="Q42" s="136">
        <f t="shared" si="5"/>
        <v>11746.074828116984</v>
      </c>
      <c r="R42" s="136">
        <f t="shared" si="6"/>
        <v>3431.1522883530019</v>
      </c>
      <c r="S42" s="136">
        <f t="shared" si="7"/>
        <v>2134.3196626423805</v>
      </c>
      <c r="T42" s="137">
        <f t="shared" si="8"/>
        <v>19156.979168804515</v>
      </c>
      <c r="U42" s="148">
        <f t="shared" si="9"/>
        <v>41708.757393786553</v>
      </c>
    </row>
    <row r="43" spans="1:21" x14ac:dyDescent="0.2">
      <c r="A43" s="124">
        <f t="shared" si="10"/>
        <v>37182</v>
      </c>
      <c r="B43" s="125">
        <f>+'[1]Index Pricing'!B24</f>
        <v>2.2050000000000001</v>
      </c>
      <c r="C43" s="139">
        <f t="shared" si="0"/>
        <v>2.2050000000000001</v>
      </c>
      <c r="D43" s="140">
        <f>O43*'[1]Internal Kennedy Total'!T35</f>
        <v>2807.3268164349643</v>
      </c>
      <c r="E43" s="141">
        <f>+'[1]Index Pricing'!$B$4+'S Kitty Detail'!$K$17</f>
        <v>1.4456</v>
      </c>
      <c r="F43" s="142">
        <f>O43*'[1]Internal Kennedy Total'!U35</f>
        <v>8009.491630342266</v>
      </c>
      <c r="G43" s="141">
        <f t="shared" si="1"/>
        <v>1.05</v>
      </c>
      <c r="H43" s="143">
        <f>O43*'[1]Internal Kennedy Total'!V35</f>
        <v>3221.1505506693147</v>
      </c>
      <c r="I43" s="141">
        <f t="shared" si="2"/>
        <v>2.0479000000000003</v>
      </c>
      <c r="J43" s="144">
        <f>O43*'[1]Internal Kennedy Total'!W35</f>
        <v>1250.1481519692554</v>
      </c>
      <c r="K43" s="141">
        <f>B43+$K$19+'[1]Kennedy Gas Daily Pricing'!B24</f>
        <v>2.125</v>
      </c>
      <c r="L43" s="144">
        <f>O43*'[1]Internal Kennedy Total'!X35</f>
        <v>10589.882850584199</v>
      </c>
      <c r="M43" s="145">
        <f>'[2]Enron Detail'!G31</f>
        <v>-2186</v>
      </c>
      <c r="N43" s="146">
        <f>'[2]Enron Detail'!F31</f>
        <v>28064</v>
      </c>
      <c r="O43" s="147">
        <f t="shared" si="3"/>
        <v>25878</v>
      </c>
      <c r="P43" s="135">
        <f t="shared" si="4"/>
        <v>6190.1556302390964</v>
      </c>
      <c r="Q43" s="136">
        <f t="shared" si="5"/>
        <v>11578.52110082278</v>
      </c>
      <c r="R43" s="136">
        <f t="shared" si="6"/>
        <v>3382.2080782027806</v>
      </c>
      <c r="S43" s="136">
        <f t="shared" si="7"/>
        <v>2560.1784004178385</v>
      </c>
      <c r="T43" s="137">
        <f t="shared" si="8"/>
        <v>22503.501057491423</v>
      </c>
      <c r="U43" s="148">
        <f t="shared" si="9"/>
        <v>46214.564267173919</v>
      </c>
    </row>
    <row r="44" spans="1:21" x14ac:dyDescent="0.2">
      <c r="A44" s="124">
        <f t="shared" si="10"/>
        <v>37183</v>
      </c>
      <c r="B44" s="125">
        <f>+'[1]Index Pricing'!B25</f>
        <v>1.9950000000000001</v>
      </c>
      <c r="C44" s="139">
        <f t="shared" si="0"/>
        <v>1.9950000000000001</v>
      </c>
      <c r="D44" s="140">
        <f>O44*'[1]Internal Kennedy Total'!T36</f>
        <v>2903.0487733502414</v>
      </c>
      <c r="E44" s="141">
        <f>+'[1]Index Pricing'!$B$4+'S Kitty Detail'!$K$17</f>
        <v>1.4456</v>
      </c>
      <c r="F44" s="142">
        <f>O44*'[1]Internal Kennedy Total'!U36</f>
        <v>8282.5927912988336</v>
      </c>
      <c r="G44" s="141">
        <f t="shared" si="1"/>
        <v>1.05</v>
      </c>
      <c r="H44" s="143">
        <f>O44*'[1]Internal Kennedy Total'!V36</f>
        <v>3330.9827342340145</v>
      </c>
      <c r="I44" s="141">
        <f t="shared" si="2"/>
        <v>1.8379000000000001</v>
      </c>
      <c r="J44" s="144">
        <f>O44*'[1]Internal Kennedy Total'!W36</f>
        <v>1292.7746915085597</v>
      </c>
      <c r="K44" s="141">
        <f>B44+$K$19+'[1]Kennedy Gas Daily Pricing'!B25</f>
        <v>1.915</v>
      </c>
      <c r="L44" s="144">
        <f>O44*'[1]Internal Kennedy Total'!X36</f>
        <v>12493.60100960835</v>
      </c>
      <c r="M44" s="145">
        <f>'[2]Enron Detail'!G32</f>
        <v>-2063</v>
      </c>
      <c r="N44" s="146">
        <f>'[2]Enron Detail'!F32</f>
        <v>30366</v>
      </c>
      <c r="O44" s="147">
        <f t="shared" si="3"/>
        <v>28303</v>
      </c>
      <c r="P44" s="135">
        <f t="shared" si="4"/>
        <v>5791.5823028337318</v>
      </c>
      <c r="Q44" s="136">
        <f t="shared" si="5"/>
        <v>11973.316139101595</v>
      </c>
      <c r="R44" s="136">
        <f t="shared" si="6"/>
        <v>3497.5318709457156</v>
      </c>
      <c r="S44" s="136">
        <f t="shared" si="7"/>
        <v>2375.990605523582</v>
      </c>
      <c r="T44" s="137">
        <f t="shared" si="8"/>
        <v>23925.24593339999</v>
      </c>
      <c r="U44" s="148">
        <f t="shared" si="9"/>
        <v>47563.666851804614</v>
      </c>
    </row>
    <row r="45" spans="1:21" x14ac:dyDescent="0.2">
      <c r="A45" s="124">
        <f t="shared" si="10"/>
        <v>37184</v>
      </c>
      <c r="B45" s="125">
        <f>+'[1]Index Pricing'!B26</f>
        <v>1.81</v>
      </c>
      <c r="C45" s="139">
        <f t="shared" si="0"/>
        <v>1.81</v>
      </c>
      <c r="D45" s="140">
        <f>O45*'[1]Internal Kennedy Total'!T37</f>
        <v>3069.3970748972047</v>
      </c>
      <c r="E45" s="141">
        <f>+'[1]Index Pricing'!$B$4+'S Kitty Detail'!$K$17</f>
        <v>1.4456</v>
      </c>
      <c r="F45" s="142">
        <f>O45*'[1]Internal Kennedy Total'!U37</f>
        <v>8757.1956487794723</v>
      </c>
      <c r="G45" s="141">
        <f t="shared" si="1"/>
        <v>1.05</v>
      </c>
      <c r="H45" s="143">
        <f>O45*'[1]Internal Kennedy Total'!V37</f>
        <v>3521.8521834174776</v>
      </c>
      <c r="I45" s="141">
        <f t="shared" si="2"/>
        <v>1.6529</v>
      </c>
      <c r="J45" s="144">
        <f>O45*'[1]Internal Kennedy Total'!W37</f>
        <v>1366.8522875136625</v>
      </c>
      <c r="K45" s="141">
        <f>B45+$K$19+'[1]Kennedy Gas Daily Pricing'!B26</f>
        <v>1.73</v>
      </c>
      <c r="L45" s="144">
        <f>O45*'[1]Internal Kennedy Total'!X37</f>
        <v>11326.702805392182</v>
      </c>
      <c r="M45" s="145">
        <f>'[2]Enron Detail'!G33</f>
        <v>-1910</v>
      </c>
      <c r="N45" s="146">
        <f>'[2]Enron Detail'!F33</f>
        <v>29952</v>
      </c>
      <c r="O45" s="147">
        <f t="shared" si="3"/>
        <v>28042</v>
      </c>
      <c r="P45" s="135">
        <f t="shared" si="4"/>
        <v>5555.6087055639409</v>
      </c>
      <c r="Q45" s="136">
        <f t="shared" si="5"/>
        <v>12659.402029875606</v>
      </c>
      <c r="R45" s="136">
        <f t="shared" si="6"/>
        <v>3697.9447925883514</v>
      </c>
      <c r="S45" s="136">
        <f t="shared" si="7"/>
        <v>2259.2701460313328</v>
      </c>
      <c r="T45" s="137">
        <f t="shared" si="8"/>
        <v>19595.195853328474</v>
      </c>
      <c r="U45" s="148">
        <f t="shared" si="9"/>
        <v>43767.421527387705</v>
      </c>
    </row>
    <row r="46" spans="1:21" x14ac:dyDescent="0.2">
      <c r="A46" s="124">
        <f t="shared" si="10"/>
        <v>37185</v>
      </c>
      <c r="B46" s="125">
        <f>+'[1]Index Pricing'!B27</f>
        <v>1.81</v>
      </c>
      <c r="C46" s="139">
        <f t="shared" si="0"/>
        <v>1.81</v>
      </c>
      <c r="D46" s="140">
        <f>O46*'[1]Internal Kennedy Total'!T38</f>
        <v>3137.4003709378276</v>
      </c>
      <c r="E46" s="141">
        <f>+'[1]Index Pricing'!$B$4+'S Kitty Detail'!$K$17</f>
        <v>1.4456</v>
      </c>
      <c r="F46" s="142">
        <f>O46*'[1]Internal Kennedy Total'!U38</f>
        <v>8951.2136118054987</v>
      </c>
      <c r="G46" s="141">
        <f t="shared" si="1"/>
        <v>1.05</v>
      </c>
      <c r="H46" s="143">
        <f>O46*'[1]Internal Kennedy Total'!V38</f>
        <v>3599.879740881112</v>
      </c>
      <c r="I46" s="141">
        <f t="shared" si="2"/>
        <v>1.6529</v>
      </c>
      <c r="J46" s="144">
        <f>O46*'[1]Internal Kennedy Total'!W38</f>
        <v>1397.1352579093084</v>
      </c>
      <c r="K46" s="141">
        <f>B46+$K$19+'[1]Kennedy Gas Daily Pricing'!B27</f>
        <v>1.73</v>
      </c>
      <c r="L46" s="144">
        <f>O46*'[1]Internal Kennedy Total'!X38</f>
        <v>10665.371018466252</v>
      </c>
      <c r="M46" s="145">
        <f>'[2]Enron Detail'!G34</f>
        <v>-1870</v>
      </c>
      <c r="N46" s="146">
        <f>'[2]Enron Detail'!F34</f>
        <v>29621</v>
      </c>
      <c r="O46" s="147">
        <f t="shared" si="3"/>
        <v>27751</v>
      </c>
      <c r="P46" s="135">
        <f t="shared" si="4"/>
        <v>5678.6946713974685</v>
      </c>
      <c r="Q46" s="136">
        <f t="shared" si="5"/>
        <v>12939.874397226029</v>
      </c>
      <c r="R46" s="136">
        <f t="shared" si="6"/>
        <v>3779.8737279251677</v>
      </c>
      <c r="S46" s="136">
        <f t="shared" si="7"/>
        <v>2309.3248677982961</v>
      </c>
      <c r="T46" s="137">
        <f t="shared" si="8"/>
        <v>18451.091861946617</v>
      </c>
      <c r="U46" s="148">
        <f t="shared" si="9"/>
        <v>43158.859526293578</v>
      </c>
    </row>
    <row r="47" spans="1:21" x14ac:dyDescent="0.2">
      <c r="A47" s="124">
        <f t="shared" si="10"/>
        <v>37186</v>
      </c>
      <c r="B47" s="125">
        <f>+'[1]Index Pricing'!B28</f>
        <v>1.81</v>
      </c>
      <c r="C47" s="139">
        <f t="shared" si="0"/>
        <v>1.81</v>
      </c>
      <c r="D47" s="140">
        <f>O47*'[1]Internal Kennedy Total'!T39</f>
        <v>2834.7985063095543</v>
      </c>
      <c r="E47" s="141">
        <f>+'[1]Index Pricing'!$B$4+'S Kitty Detail'!$K$17</f>
        <v>1.4456</v>
      </c>
      <c r="F47" s="142">
        <f>O47*'[1]Internal Kennedy Total'!U39</f>
        <v>8087.8702034509397</v>
      </c>
      <c r="G47" s="141">
        <f t="shared" si="1"/>
        <v>1.05</v>
      </c>
      <c r="H47" s="143">
        <f>O47*'[1]Internal Kennedy Total'!V39</f>
        <v>3252.6718001545196</v>
      </c>
      <c r="I47" s="141">
        <f t="shared" si="2"/>
        <v>1.6529</v>
      </c>
      <c r="J47" s="144">
        <f>O47*'[1]Internal Kennedy Total'!W39</f>
        <v>1262.3817409219675</v>
      </c>
      <c r="K47" s="141">
        <f>B47+$K$19+'[1]Kennedy Gas Daily Pricing'!B28</f>
        <v>1.73</v>
      </c>
      <c r="L47" s="144">
        <f>O47*'[1]Internal Kennedy Total'!X39</f>
        <v>10733.277749163019</v>
      </c>
      <c r="M47" s="145">
        <f>'[2]Enron Detail'!G35</f>
        <v>-2090</v>
      </c>
      <c r="N47" s="146">
        <f>'[2]Enron Detail'!F35</f>
        <v>28261</v>
      </c>
      <c r="O47" s="147">
        <f t="shared" si="3"/>
        <v>26171</v>
      </c>
      <c r="P47" s="135">
        <f t="shared" si="4"/>
        <v>5130.9852964202937</v>
      </c>
      <c r="Q47" s="136">
        <f t="shared" si="5"/>
        <v>11691.825166108678</v>
      </c>
      <c r="R47" s="136">
        <f t="shared" si="6"/>
        <v>3415.3053901622457</v>
      </c>
      <c r="S47" s="136">
        <f t="shared" si="7"/>
        <v>2086.5907795699204</v>
      </c>
      <c r="T47" s="137">
        <f t="shared" si="8"/>
        <v>18568.570506052023</v>
      </c>
      <c r="U47" s="148">
        <f t="shared" si="9"/>
        <v>40893.277138313162</v>
      </c>
    </row>
    <row r="48" spans="1:21" x14ac:dyDescent="0.2">
      <c r="A48" s="124">
        <f t="shared" si="10"/>
        <v>37187</v>
      </c>
      <c r="B48" s="125">
        <f>+'[1]Index Pricing'!B29</f>
        <v>2.2850000000000001</v>
      </c>
      <c r="C48" s="139">
        <f t="shared" si="0"/>
        <v>2.2850000000000001</v>
      </c>
      <c r="D48" s="140">
        <f>O48*'[1]Internal Kennedy Total'!T40</f>
        <v>2884.2617276215833</v>
      </c>
      <c r="E48" s="141">
        <f>+'[1]Index Pricing'!$B$4+'S Kitty Detail'!$K$17</f>
        <v>1.4456</v>
      </c>
      <c r="F48" s="142">
        <f>O48*'[1]Internal Kennedy Total'!U40</f>
        <v>8228.9920902184967</v>
      </c>
      <c r="G48" s="141">
        <f t="shared" si="1"/>
        <v>1.05</v>
      </c>
      <c r="H48" s="143">
        <f>O48*'[1]Internal Kennedy Total'!V40</f>
        <v>3309.4263189495391</v>
      </c>
      <c r="I48" s="141">
        <f t="shared" si="2"/>
        <v>2.1279000000000003</v>
      </c>
      <c r="J48" s="144">
        <f>O48*'[1]Internal Kennedy Total'!W40</f>
        <v>1512.0772965776489</v>
      </c>
      <c r="K48" s="141">
        <f>B48+$K$19+'[1]Kennedy Gas Daily Pricing'!B29</f>
        <v>2.2250000000000001</v>
      </c>
      <c r="L48" s="144">
        <f>O48*'[1]Internal Kennedy Total'!X40</f>
        <v>10334.242566632729</v>
      </c>
      <c r="M48" s="145">
        <f>'[2]Enron Detail'!G36</f>
        <v>-2306</v>
      </c>
      <c r="N48" s="146">
        <f>'[2]Enron Detail'!F36</f>
        <v>28575</v>
      </c>
      <c r="O48" s="147">
        <f t="shared" si="3"/>
        <v>26269</v>
      </c>
      <c r="P48" s="135">
        <f t="shared" si="4"/>
        <v>6590.5380476153186</v>
      </c>
      <c r="Q48" s="136">
        <f t="shared" si="5"/>
        <v>11895.830965619858</v>
      </c>
      <c r="R48" s="136">
        <f t="shared" si="6"/>
        <v>3474.8976348970164</v>
      </c>
      <c r="S48" s="136">
        <f t="shared" si="7"/>
        <v>3217.5492793875796</v>
      </c>
      <c r="T48" s="137">
        <f t="shared" si="8"/>
        <v>22993.689710757822</v>
      </c>
      <c r="U48" s="148">
        <f t="shared" si="9"/>
        <v>48172.505638277595</v>
      </c>
    </row>
    <row r="49" spans="1:26" x14ac:dyDescent="0.2">
      <c r="A49" s="124">
        <f t="shared" si="10"/>
        <v>37188</v>
      </c>
      <c r="B49" s="125">
        <f>+'[1]Index Pricing'!B30</f>
        <v>2.585</v>
      </c>
      <c r="C49" s="139">
        <f t="shared" si="0"/>
        <v>2.585</v>
      </c>
      <c r="D49" s="140">
        <f>O49*'[1]Internal Kennedy Total'!T41</f>
        <v>2433.2860783261804</v>
      </c>
      <c r="E49" s="141">
        <f>+'[1]Index Pricing'!$B$4+'S Kitty Detail'!$K$17</f>
        <v>1.4456</v>
      </c>
      <c r="F49" s="142">
        <f>O49*'[1]Internal Kennedy Total'!U41</f>
        <v>6942.328326180258</v>
      </c>
      <c r="G49" s="141">
        <f t="shared" si="1"/>
        <v>1.05</v>
      </c>
      <c r="H49" s="143">
        <f>O49*'[1]Internal Kennedy Total'!V41</f>
        <v>2791.9730418454938</v>
      </c>
      <c r="I49" s="141">
        <f t="shared" si="2"/>
        <v>2.4279000000000002</v>
      </c>
      <c r="J49" s="144">
        <f>O49*'[1]Internal Kennedy Total'!W41</f>
        <v>1275.6528299356223</v>
      </c>
      <c r="K49" s="141">
        <f>B49+$K$19+'[1]Kennedy Gas Daily Pricing'!B30</f>
        <v>2.5249999999999999</v>
      </c>
      <c r="L49" s="144">
        <f>O49*'[1]Internal Kennedy Total'!X41</f>
        <v>3810.7597237124464</v>
      </c>
      <c r="M49" s="145">
        <f>'[2]Enron Detail'!G37</f>
        <v>-1481</v>
      </c>
      <c r="N49" s="146">
        <f>'[2]Enron Detail'!F37</f>
        <v>18735</v>
      </c>
      <c r="O49" s="147">
        <f t="shared" si="3"/>
        <v>17254</v>
      </c>
      <c r="P49" s="135">
        <f t="shared" si="4"/>
        <v>6290.0445124731759</v>
      </c>
      <c r="Q49" s="136">
        <f t="shared" si="5"/>
        <v>10035.829828326181</v>
      </c>
      <c r="R49" s="136">
        <f t="shared" si="6"/>
        <v>2931.5716939377685</v>
      </c>
      <c r="S49" s="136">
        <f t="shared" si="7"/>
        <v>3097.1575058006974</v>
      </c>
      <c r="T49" s="137">
        <f t="shared" si="8"/>
        <v>9622.1683023739261</v>
      </c>
      <c r="U49" s="148">
        <f t="shared" si="9"/>
        <v>31976.771842911745</v>
      </c>
    </row>
    <row r="50" spans="1:26" x14ac:dyDescent="0.2">
      <c r="A50" s="124">
        <f t="shared" si="10"/>
        <v>37189</v>
      </c>
      <c r="B50" s="125">
        <f>+'[1]Index Pricing'!B31</f>
        <v>2.4049999999999998</v>
      </c>
      <c r="C50" s="139">
        <f t="shared" si="0"/>
        <v>2.4049999999999998</v>
      </c>
      <c r="D50" s="140">
        <f>O50*'[1]Internal Kennedy Total'!T42</f>
        <v>2753.9025151777973</v>
      </c>
      <c r="E50" s="141">
        <f>+'[1]Index Pricing'!$B$4+'S Kitty Detail'!$K$17</f>
        <v>1.4456</v>
      </c>
      <c r="F50" s="142">
        <f>O50*'[1]Internal Kennedy Total'!U42</f>
        <v>7857.0685169124026</v>
      </c>
      <c r="G50" s="141">
        <f t="shared" si="1"/>
        <v>1.05</v>
      </c>
      <c r="H50" s="143">
        <f>O50*'[1]Internal Kennedy Total'!V42</f>
        <v>3159.8510552182711</v>
      </c>
      <c r="I50" s="141">
        <f t="shared" si="2"/>
        <v>2.2479</v>
      </c>
      <c r="J50" s="144">
        <f>O50*'[1]Internal Kennedy Total'!W42</f>
        <v>1443.736339982654</v>
      </c>
      <c r="K50" s="141">
        <f>B50+$K$19+'[1]Kennedy Gas Daily Pricing'!B31</f>
        <v>2.3449999999999998</v>
      </c>
      <c r="L50" s="144">
        <f>O50*'[1]Internal Kennedy Total'!X42</f>
        <v>7433.4415727088754</v>
      </c>
      <c r="M50" s="145">
        <f>'[2]Enron Detail'!G38</f>
        <v>-3175</v>
      </c>
      <c r="N50" s="146">
        <f>'[2]Enron Detail'!F38</f>
        <v>25823</v>
      </c>
      <c r="O50" s="147">
        <f t="shared" si="3"/>
        <v>22648</v>
      </c>
      <c r="P50" s="135">
        <f t="shared" si="4"/>
        <v>6623.1355490026017</v>
      </c>
      <c r="Q50" s="136">
        <f t="shared" si="5"/>
        <v>11358.178248048569</v>
      </c>
      <c r="R50" s="136">
        <f t="shared" si="6"/>
        <v>3317.843607979185</v>
      </c>
      <c r="S50" s="136">
        <f t="shared" si="7"/>
        <v>3245.3749186470081</v>
      </c>
      <c r="T50" s="137">
        <f t="shared" si="8"/>
        <v>17431.42048800231</v>
      </c>
      <c r="U50" s="148">
        <f t="shared" si="9"/>
        <v>41975.952811679672</v>
      </c>
    </row>
    <row r="51" spans="1:26" x14ac:dyDescent="0.2">
      <c r="A51" s="124">
        <f t="shared" si="10"/>
        <v>37190</v>
      </c>
      <c r="B51" s="125">
        <f>+'[1]Index Pricing'!B32</f>
        <v>2.8</v>
      </c>
      <c r="C51" s="139">
        <f t="shared" si="0"/>
        <v>2.8</v>
      </c>
      <c r="D51" s="140">
        <f>O51*'[1]Internal Kennedy Total'!T43</f>
        <v>2869.6370327716995</v>
      </c>
      <c r="E51" s="141">
        <f>+'[1]Index Pricing'!$B$4+'S Kitty Detail'!$K$17</f>
        <v>1.4456</v>
      </c>
      <c r="F51" s="142">
        <f>O51*'[1]Internal Kennedy Total'!U43</f>
        <v>8187.2668552687583</v>
      </c>
      <c r="G51" s="141">
        <f t="shared" si="1"/>
        <v>1.05</v>
      </c>
      <c r="H51" s="143">
        <f>O51*'[1]Internal Kennedy Total'!V43</f>
        <v>3292.6458202939189</v>
      </c>
      <c r="I51" s="141">
        <f t="shared" si="2"/>
        <v>2.6429</v>
      </c>
      <c r="J51" s="144">
        <f>O51*'[1]Internal Kennedy Total'!W43</f>
        <v>1504.4102846556343</v>
      </c>
      <c r="K51" s="141">
        <f>B51+$K$19+'[1]Kennedy Gas Daily Pricing'!B32</f>
        <v>2.6799999999999997</v>
      </c>
      <c r="L51" s="144">
        <f>O51*'[1]Internal Kennedy Total'!X43</f>
        <v>11398.040007009989</v>
      </c>
      <c r="M51" s="145">
        <f>'[2]Enron Detail'!G39</f>
        <v>-2157</v>
      </c>
      <c r="N51" s="146">
        <f>'[2]Enron Detail'!F39</f>
        <v>29409</v>
      </c>
      <c r="O51" s="147">
        <f t="shared" si="3"/>
        <v>27252</v>
      </c>
      <c r="P51" s="135">
        <f t="shared" si="4"/>
        <v>8034.9836917607581</v>
      </c>
      <c r="Q51" s="136">
        <f t="shared" si="5"/>
        <v>11835.512965976517</v>
      </c>
      <c r="R51" s="136">
        <f t="shared" si="6"/>
        <v>3457.2781113086148</v>
      </c>
      <c r="S51" s="136">
        <f t="shared" si="7"/>
        <v>3976.0059413163758</v>
      </c>
      <c r="T51" s="137">
        <f t="shared" si="8"/>
        <v>30546.747218786768</v>
      </c>
      <c r="U51" s="148">
        <f t="shared" si="9"/>
        <v>57850.527929149037</v>
      </c>
    </row>
    <row r="52" spans="1:26" x14ac:dyDescent="0.2">
      <c r="A52" s="124">
        <f t="shared" si="10"/>
        <v>37191</v>
      </c>
      <c r="B52" s="125">
        <f>+'[1]Index Pricing'!B33</f>
        <v>2.38</v>
      </c>
      <c r="C52" s="139">
        <f t="shared" si="0"/>
        <v>2.38</v>
      </c>
      <c r="D52" s="140">
        <f>O52*'[1]Internal Kennedy Total'!T44</f>
        <v>2846.0223840551935</v>
      </c>
      <c r="E52" s="141">
        <f>+'[1]Index Pricing'!$B$4+'S Kitty Detail'!$K$17</f>
        <v>1.4456</v>
      </c>
      <c r="F52" s="142">
        <f>O52*'[1]Internal Kennedy Total'!U44</f>
        <v>8119.8926791874283</v>
      </c>
      <c r="G52" s="141">
        <f t="shared" si="1"/>
        <v>1.05</v>
      </c>
      <c r="H52" s="143">
        <f>O52*'[1]Internal Kennedy Total'!V44</f>
        <v>3265.5501724798773</v>
      </c>
      <c r="I52" s="141">
        <f t="shared" si="2"/>
        <v>2.2229000000000001</v>
      </c>
      <c r="J52" s="144">
        <f>O52*'[1]Internal Kennedy Total'!W44</f>
        <v>1492.0302798006899</v>
      </c>
      <c r="K52" s="141">
        <f>B52+$K$19+'[1]Kennedy Gas Daily Pricing'!B33</f>
        <v>2.2599999999999998</v>
      </c>
      <c r="L52" s="144">
        <f>O52*'[1]Internal Kennedy Total'!X44</f>
        <v>10757.504484476811</v>
      </c>
      <c r="M52" s="145">
        <f>'[2]Enron Detail'!G40</f>
        <v>-2055</v>
      </c>
      <c r="N52" s="146">
        <f>'[2]Enron Detail'!F40</f>
        <v>28536</v>
      </c>
      <c r="O52" s="147">
        <f t="shared" si="3"/>
        <v>26481</v>
      </c>
      <c r="P52" s="135">
        <f t="shared" si="4"/>
        <v>6773.5332740513604</v>
      </c>
      <c r="Q52" s="136">
        <f t="shared" si="5"/>
        <v>11738.116857033347</v>
      </c>
      <c r="R52" s="136">
        <f t="shared" si="6"/>
        <v>3428.8276811038713</v>
      </c>
      <c r="S52" s="136">
        <f t="shared" si="7"/>
        <v>3316.6341089689536</v>
      </c>
      <c r="T52" s="137">
        <f t="shared" si="8"/>
        <v>24311.96013491759</v>
      </c>
      <c r="U52" s="148">
        <f t="shared" si="9"/>
        <v>49569.072056075122</v>
      </c>
    </row>
    <row r="53" spans="1:26" x14ac:dyDescent="0.2">
      <c r="A53" s="124">
        <f t="shared" si="10"/>
        <v>37192</v>
      </c>
      <c r="B53" s="125">
        <f>+'[1]Index Pricing'!B34</f>
        <v>2.38</v>
      </c>
      <c r="C53" s="139">
        <f t="shared" si="0"/>
        <v>2.38</v>
      </c>
      <c r="D53" s="140">
        <f>O53*'[1]Internal Kennedy Total'!T45</f>
        <v>2864.8458515718266</v>
      </c>
      <c r="E53" s="141">
        <f>+'[1]Index Pricing'!$B$4+'S Kitty Detail'!$K$17</f>
        <v>1.4456</v>
      </c>
      <c r="F53" s="142">
        <f>O53*'[1]Internal Kennedy Total'!U45</f>
        <v>8173.5972940708316</v>
      </c>
      <c r="G53" s="141">
        <f t="shared" si="1"/>
        <v>1.05</v>
      </c>
      <c r="H53" s="143">
        <f>O53*'[1]Internal Kennedy Total'!V45</f>
        <v>3287.1483784321526</v>
      </c>
      <c r="I53" s="141">
        <f t="shared" si="2"/>
        <v>2.2229000000000001</v>
      </c>
      <c r="J53" s="144">
        <f>O53*'[1]Internal Kennedy Total'!W45</f>
        <v>1501.8985027855153</v>
      </c>
      <c r="K53" s="141">
        <f>B53+$K$19+'[1]Kennedy Gas Daily Pricing'!B34</f>
        <v>2.2599999999999998</v>
      </c>
      <c r="L53" s="144">
        <f>O53*'[1]Internal Kennedy Total'!X45</f>
        <v>11559.509973139675</v>
      </c>
      <c r="M53" s="145">
        <f>'[2]Enron Detail'!G41</f>
        <v>-1965</v>
      </c>
      <c r="N53" s="146">
        <f>'[2]Enron Detail'!F41</f>
        <v>29352</v>
      </c>
      <c r="O53" s="147">
        <f t="shared" si="3"/>
        <v>27387</v>
      </c>
      <c r="P53" s="135">
        <f t="shared" si="4"/>
        <v>6818.3331267409467</v>
      </c>
      <c r="Q53" s="136">
        <f t="shared" si="5"/>
        <v>11815.752248308794</v>
      </c>
      <c r="R53" s="136">
        <f t="shared" si="6"/>
        <v>3451.5057973537605</v>
      </c>
      <c r="S53" s="136">
        <f t="shared" si="7"/>
        <v>3338.570181841922</v>
      </c>
      <c r="T53" s="137">
        <f t="shared" si="8"/>
        <v>26124.492539295661</v>
      </c>
      <c r="U53" s="148">
        <f t="shared" si="9"/>
        <v>51548.653893541086</v>
      </c>
    </row>
    <row r="54" spans="1:26" x14ac:dyDescent="0.2">
      <c r="A54" s="124">
        <f t="shared" si="10"/>
        <v>37193</v>
      </c>
      <c r="B54" s="125">
        <f>+'[1]Index Pricing'!B35</f>
        <v>2.38</v>
      </c>
      <c r="C54" s="139">
        <f t="shared" si="0"/>
        <v>2.38</v>
      </c>
      <c r="D54" s="140">
        <f>O54*'[1]Internal Kennedy Total'!T46</f>
        <v>2865.2250056307716</v>
      </c>
      <c r="E54" s="141">
        <f>+'[1]Index Pricing'!$B$4+'S Kitty Detail'!$K$17</f>
        <v>1.4456</v>
      </c>
      <c r="F54" s="142">
        <f>O54*'[1]Internal Kennedy Total'!U46</f>
        <v>8174.6790460221737</v>
      </c>
      <c r="G54" s="141">
        <f t="shared" si="1"/>
        <v>1.05</v>
      </c>
      <c r="H54" s="143">
        <f>O54*'[1]Internal Kennedy Total'!V46</f>
        <v>3287.5834230085838</v>
      </c>
      <c r="I54" s="141">
        <f t="shared" si="2"/>
        <v>2.2229000000000001</v>
      </c>
      <c r="J54" s="144">
        <f>O54*'[1]Internal Kennedy Total'!W46</f>
        <v>1502.0972747065744</v>
      </c>
      <c r="K54" s="141">
        <f>B54+$K$19+'[1]Kennedy Gas Daily Pricing'!B35</f>
        <v>2.2599999999999998</v>
      </c>
      <c r="L54" s="144">
        <f>O54*'[1]Internal Kennedy Total'!X46</f>
        <v>11391.415250631899</v>
      </c>
      <c r="M54" s="145">
        <f>'[2]Enron Detail'!G42</f>
        <v>-1908</v>
      </c>
      <c r="N54" s="146">
        <f>'[2]Enron Detail'!F42</f>
        <v>29129</v>
      </c>
      <c r="O54" s="147">
        <f t="shared" si="3"/>
        <v>27221</v>
      </c>
      <c r="P54" s="135">
        <f t="shared" si="4"/>
        <v>6819.2355134012359</v>
      </c>
      <c r="Q54" s="136">
        <f t="shared" si="5"/>
        <v>11817.316028929654</v>
      </c>
      <c r="R54" s="136">
        <f t="shared" si="6"/>
        <v>3451.9625941590134</v>
      </c>
      <c r="S54" s="136">
        <f t="shared" si="7"/>
        <v>3339.0120319452444</v>
      </c>
      <c r="T54" s="137">
        <f t="shared" si="8"/>
        <v>25744.598466428088</v>
      </c>
      <c r="U54" s="148">
        <f t="shared" si="9"/>
        <v>51172.124634863234</v>
      </c>
    </row>
    <row r="55" spans="1:26" x14ac:dyDescent="0.2">
      <c r="A55" s="124">
        <f t="shared" si="10"/>
        <v>37194</v>
      </c>
      <c r="B55" s="125">
        <f>+'[1]Index Pricing'!B36</f>
        <v>2.65</v>
      </c>
      <c r="C55" s="139">
        <f t="shared" si="0"/>
        <v>2.65</v>
      </c>
      <c r="D55" s="140">
        <f>O55*'[1]Internal Kennedy Total'!T47</f>
        <v>2556.7194001752737</v>
      </c>
      <c r="E55" s="141">
        <f>+'[1]Index Pricing'!$B$4+'S Kitty Detail'!$K$17</f>
        <v>1.4456</v>
      </c>
      <c r="F55" s="142">
        <f>O55*'[1]Internal Kennedy Total'!U47</f>
        <v>7294.4918692589836</v>
      </c>
      <c r="G55" s="141">
        <f t="shared" si="1"/>
        <v>1.05</v>
      </c>
      <c r="H55" s="143">
        <f>O55*'[1]Internal Kennedy Total'!V47</f>
        <v>2933.6014800869875</v>
      </c>
      <c r="I55" s="141">
        <f t="shared" si="2"/>
        <v>2.4929000000000001</v>
      </c>
      <c r="J55" s="144">
        <f>O55*'[1]Internal Kennedy Total'!W47</f>
        <v>1562.2370086662988</v>
      </c>
      <c r="K55" s="141">
        <f>B55+$K$19+'[1]Kennedy Gas Daily Pricing'!B36</f>
        <v>2.5299999999999998</v>
      </c>
      <c r="L55" s="144">
        <f>O55*'[1]Internal Kennedy Total'!X47</f>
        <v>4380.9502418124575</v>
      </c>
      <c r="M55" s="145">
        <f>'[2]Enron Detail'!G43</f>
        <v>-2077</v>
      </c>
      <c r="N55" s="146">
        <f>'[2]Enron Detail'!F43</f>
        <v>20805</v>
      </c>
      <c r="O55" s="147">
        <f t="shared" si="3"/>
        <v>18728</v>
      </c>
      <c r="P55" s="135">
        <f t="shared" si="4"/>
        <v>6775.3064104644754</v>
      </c>
      <c r="Q55" s="136">
        <f t="shared" si="5"/>
        <v>10544.917446200787</v>
      </c>
      <c r="R55" s="136">
        <f t="shared" si="6"/>
        <v>3080.2815540913371</v>
      </c>
      <c r="S55" s="136">
        <f t="shared" si="7"/>
        <v>3894.5006389042164</v>
      </c>
      <c r="T55" s="137">
        <f t="shared" si="8"/>
        <v>11083.804111785517</v>
      </c>
      <c r="U55" s="148">
        <f t="shared" si="9"/>
        <v>35378.810161446338</v>
      </c>
    </row>
    <row r="56" spans="1:26" ht="13.5" thickBot="1" x14ac:dyDescent="0.25">
      <c r="A56" s="124">
        <f t="shared" si="10"/>
        <v>37195</v>
      </c>
      <c r="B56" s="125">
        <f>+'[1]Index Pricing'!B37</f>
        <v>2.64</v>
      </c>
      <c r="C56" s="150">
        <f t="shared" si="0"/>
        <v>2.64</v>
      </c>
      <c r="D56" s="151">
        <f>O56*'[1]Internal Kennedy Total'!T48</f>
        <v>2807.8115581792763</v>
      </c>
      <c r="E56" s="152">
        <f>+'[1]Index Pricing'!$B$4+'S Kitty Detail'!$K$17</f>
        <v>1.4456</v>
      </c>
      <c r="F56" s="153">
        <f>O56*'[1]Internal Kennedy Total'!U48</f>
        <v>8010.8746310393044</v>
      </c>
      <c r="G56" s="152">
        <f t="shared" si="1"/>
        <v>1.05</v>
      </c>
      <c r="H56" s="154">
        <f>O56*'[1]Internal Kennedy Total'!V48</f>
        <v>3221.7067474496403</v>
      </c>
      <c r="I56" s="155">
        <f t="shared" si="2"/>
        <v>2.4829000000000003</v>
      </c>
      <c r="J56" s="156">
        <f>O56*'[1]Internal Kennedy Total'!W48</f>
        <v>1875.2122365491171</v>
      </c>
      <c r="K56" s="155">
        <f>B56+$K$19+'[1]Kennedy Gas Daily Pricing'!B37</f>
        <v>2.52</v>
      </c>
      <c r="L56" s="156">
        <f>O56*'[1]Internal Kennedy Total'!X48</f>
        <v>9867.3948267826636</v>
      </c>
      <c r="M56" s="157">
        <f>'[2]Enron Detail'!G44</f>
        <v>-1800</v>
      </c>
      <c r="N56" s="158">
        <f>'[2]Enron Detail'!F44</f>
        <v>27583</v>
      </c>
      <c r="O56" s="158">
        <f t="shared" si="3"/>
        <v>25783</v>
      </c>
      <c r="P56" s="159">
        <f t="shared" si="4"/>
        <v>7412.62251359329</v>
      </c>
      <c r="Q56" s="160">
        <f t="shared" si="5"/>
        <v>11580.520366630419</v>
      </c>
      <c r="R56" s="160">
        <f t="shared" si="6"/>
        <v>3382.7920848221224</v>
      </c>
      <c r="S56" s="160">
        <f t="shared" si="7"/>
        <v>4655.964462127803</v>
      </c>
      <c r="T56" s="161">
        <f t="shared" si="8"/>
        <v>24865.834963492311</v>
      </c>
      <c r="U56" s="162">
        <f t="shared" si="9"/>
        <v>51897.734390665944</v>
      </c>
    </row>
    <row r="57" spans="1:26" x14ac:dyDescent="0.2">
      <c r="D57" s="163">
        <f>SUM(D26:D56)</f>
        <v>88438.168992830848</v>
      </c>
      <c r="F57" s="164">
        <f>SUM(F26:F56)</f>
        <v>252320.02565714935</v>
      </c>
      <c r="H57" s="163">
        <f>SUM(H26:H56)</f>
        <v>101474.70365178357</v>
      </c>
      <c r="J57" s="165">
        <f>SUM(J26:J56)</f>
        <v>38864.067331784485</v>
      </c>
      <c r="K57" s="165"/>
      <c r="L57" s="165">
        <f t="shared" ref="L57:T57" si="11">SUM(L26:L56)</f>
        <v>315493.0343664519</v>
      </c>
      <c r="M57" s="166">
        <f t="shared" si="11"/>
        <v>-65301</v>
      </c>
      <c r="N57" s="147">
        <f t="shared" si="11"/>
        <v>861891</v>
      </c>
      <c r="O57" s="147">
        <f t="shared" si="11"/>
        <v>796590</v>
      </c>
      <c r="P57" s="167">
        <f t="shared" si="11"/>
        <v>171999.05610717603</v>
      </c>
      <c r="Q57" s="167">
        <f t="shared" si="11"/>
        <v>364753.82908997498</v>
      </c>
      <c r="R57" s="167">
        <f t="shared" si="11"/>
        <v>106548.43883437275</v>
      </c>
      <c r="S57" s="167">
        <f t="shared" si="11"/>
        <v>72148.871150894251</v>
      </c>
      <c r="T57" s="167">
        <f t="shared" si="11"/>
        <v>578519.96457178099</v>
      </c>
      <c r="U57" s="168">
        <f t="shared" si="9"/>
        <v>1293970.159754199</v>
      </c>
    </row>
    <row r="58" spans="1:26" x14ac:dyDescent="0.2">
      <c r="D58" s="94"/>
      <c r="F58" s="94"/>
      <c r="M58" s="94"/>
      <c r="P58" s="169"/>
      <c r="R58" s="170"/>
    </row>
    <row r="59" spans="1:26" x14ac:dyDescent="0.2">
      <c r="L59" s="184"/>
      <c r="Q59" s="53" t="s">
        <v>109</v>
      </c>
      <c r="R59" s="171">
        <f>U57/N57</f>
        <v>1.5013153168488811</v>
      </c>
      <c r="V59" s="172"/>
    </row>
    <row r="60" spans="1:26" x14ac:dyDescent="0.2">
      <c r="A60" s="58" t="s">
        <v>110</v>
      </c>
      <c r="O60" s="80"/>
      <c r="S60" s="39"/>
      <c r="Z60" s="183"/>
    </row>
    <row r="61" spans="1:26" x14ac:dyDescent="0.2">
      <c r="U61" s="172"/>
    </row>
    <row r="62" spans="1:26" x14ac:dyDescent="0.2">
      <c r="R62" s="173"/>
      <c r="S62" s="173"/>
      <c r="U62" s="174"/>
    </row>
    <row r="63" spans="1:26" x14ac:dyDescent="0.2">
      <c r="U63" s="174"/>
    </row>
    <row r="64" spans="1:26" x14ac:dyDescent="0.2">
      <c r="U64" s="172"/>
    </row>
  </sheetData>
  <mergeCells count="2">
    <mergeCell ref="C22:U22"/>
    <mergeCell ref="P23:T23"/>
  </mergeCells>
  <phoneticPr fontId="0" type="noConversion"/>
  <pageMargins left="0.25" right="0.25" top="1" bottom="1" header="0.5" footer="0.5"/>
  <pageSetup paperSize="5" scale="4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r:id="rId5">
            <anchor moveWithCells="1">
              <from>
                <xdr:col>4</xdr:col>
                <xdr:colOff>581025</xdr:colOff>
                <xdr:row>0</xdr:row>
                <xdr:rowOff>19050</xdr:rowOff>
              </from>
              <to>
                <xdr:col>4</xdr:col>
                <xdr:colOff>1171575</xdr:colOff>
                <xdr:row>3</xdr:row>
                <xdr:rowOff>66675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Kennedy Summary</vt:lpstr>
      <vt:lpstr>Box Draw Detail</vt:lpstr>
      <vt:lpstr>S Kitty Detail</vt:lpstr>
      <vt:lpstr>'Box Draw Detail'!Print_Area</vt:lpstr>
      <vt:lpstr>'Kennedy Summary'!Print_Area</vt:lpstr>
      <vt:lpstr>'S Kitty Detail'!Print_Area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Felienne</cp:lastModifiedBy>
  <dcterms:created xsi:type="dcterms:W3CDTF">2001-11-28T19:12:49Z</dcterms:created>
  <dcterms:modified xsi:type="dcterms:W3CDTF">2014-09-05T11:13:01Z</dcterms:modified>
</cp:coreProperties>
</file>