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30" yWindow="0" windowWidth="15195" windowHeight="9045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Assumptions" sheetId="4" state="hidden" r:id="rId4"/>
    <sheet name="Detail Breakdown" sheetId="26" r:id="rId5"/>
    <sheet name="Headcount Assumptions" sheetId="25" r:id="rId6"/>
    <sheet name="Assumptions (2)" sheetId="27" r:id="rId7"/>
    <sheet name="EPSC" sheetId="28" r:id="rId8"/>
    <sheet name="Income Statement" sheetId="29" r:id="rId9"/>
    <sheet name="Spec Pay" sheetId="9" state="hidden" r:id="rId10"/>
    <sheet name="Cap HC Template" sheetId="17" state="hidden" r:id="rId11"/>
    <sheet name="HC Load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3">Assumptions!$A$1:$U$134</definedName>
    <definedName name="_xlnm.Print_Area" localSheetId="10">'Cap HC Template'!$A$1:$O$35</definedName>
    <definedName name="_xlnm.Print_Area" localSheetId="2">'Cost rates'!$A$1:$J$89</definedName>
    <definedName name="_xlnm.Print_Area" localSheetId="11">'HC Load'!$A$1:$O$24</definedName>
    <definedName name="_xlnm.Print_Titles" localSheetId="3">Assumptions!$1:$8</definedName>
    <definedName name="SAPFuncF4Help" localSheetId="8">Main.SAPF4Help()</definedName>
    <definedName name="SAPFuncF4Help">Main.SAPF4Help()</definedName>
  </definedNames>
  <calcPr calcId="152511" fullCalcOnLoad="1"/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R10" i="24" s="1"/>
  <c r="I10" i="24"/>
  <c r="M10" i="24"/>
  <c r="Q10" i="24"/>
  <c r="E11" i="24"/>
  <c r="I11" i="24"/>
  <c r="M11" i="24"/>
  <c r="Q11" i="24"/>
  <c r="R11" i="24"/>
  <c r="B12" i="24"/>
  <c r="C12" i="24"/>
  <c r="D12" i="24"/>
  <c r="F12" i="24"/>
  <c r="G12" i="24"/>
  <c r="H12" i="24"/>
  <c r="I12" i="24"/>
  <c r="J12" i="24"/>
  <c r="K12" i="24"/>
  <c r="L12" i="24"/>
  <c r="N12" i="24"/>
  <c r="O12" i="24"/>
  <c r="O21" i="24" s="1"/>
  <c r="P12" i="24"/>
  <c r="E14" i="24"/>
  <c r="I14" i="24"/>
  <c r="M14" i="24"/>
  <c r="Q14" i="24"/>
  <c r="R14" i="24" s="1"/>
  <c r="E15" i="24"/>
  <c r="I15" i="24"/>
  <c r="M15" i="24"/>
  <c r="Q15" i="24"/>
  <c r="E16" i="24"/>
  <c r="I16" i="24"/>
  <c r="R16" i="24" s="1"/>
  <c r="M16" i="24"/>
  <c r="Q16" i="24"/>
  <c r="E17" i="24"/>
  <c r="I17" i="24"/>
  <c r="M17" i="24"/>
  <c r="Q17" i="24"/>
  <c r="R17" i="24"/>
  <c r="E18" i="24"/>
  <c r="R18" i="24" s="1"/>
  <c r="I18" i="24"/>
  <c r="M18" i="24"/>
  <c r="Q18" i="24"/>
  <c r="E19" i="24"/>
  <c r="I19" i="24"/>
  <c r="M19" i="24"/>
  <c r="Q19" i="24"/>
  <c r="R19" i="24"/>
  <c r="B20" i="24"/>
  <c r="E20" i="24" s="1"/>
  <c r="C20" i="24"/>
  <c r="D20" i="24"/>
  <c r="F20" i="24"/>
  <c r="G20" i="24"/>
  <c r="H20" i="24"/>
  <c r="I20" i="24"/>
  <c r="R20" i="24" s="1"/>
  <c r="J20" i="24"/>
  <c r="M20" i="24" s="1"/>
  <c r="K20" i="24"/>
  <c r="L20" i="24"/>
  <c r="N20" i="24"/>
  <c r="O20" i="24"/>
  <c r="P20" i="24"/>
  <c r="Q20" i="24"/>
  <c r="C21" i="24"/>
  <c r="D21" i="24"/>
  <c r="F21" i="24"/>
  <c r="H21" i="24"/>
  <c r="K21" i="24"/>
  <c r="L21" i="24"/>
  <c r="N21" i="24"/>
  <c r="Q21" i="24" s="1"/>
  <c r="P21" i="24"/>
  <c r="J11" i="4"/>
  <c r="L11" i="4" s="1"/>
  <c r="J12" i="4"/>
  <c r="J13" i="4"/>
  <c r="L13" i="4"/>
  <c r="C14" i="4"/>
  <c r="J16" i="4"/>
  <c r="L16" i="4"/>
  <c r="J17" i="4"/>
  <c r="L17" i="4"/>
  <c r="J18" i="4"/>
  <c r="L18" i="4" s="1"/>
  <c r="J19" i="4"/>
  <c r="L19" i="4" s="1"/>
  <c r="J20" i="4"/>
  <c r="L20" i="4"/>
  <c r="J21" i="4"/>
  <c r="L21" i="4"/>
  <c r="C22" i="4"/>
  <c r="O30" i="4"/>
  <c r="L35" i="4"/>
  <c r="J39" i="4"/>
  <c r="L39" i="4"/>
  <c r="O39" i="4"/>
  <c r="R39" i="4"/>
  <c r="R40" i="4" s="1"/>
  <c r="H40" i="4"/>
  <c r="I40" i="4"/>
  <c r="O40" i="4"/>
  <c r="H43" i="4"/>
  <c r="J43" i="4"/>
  <c r="O43" i="4"/>
  <c r="P43" i="4"/>
  <c r="G46" i="4"/>
  <c r="H46" i="4"/>
  <c r="J46" i="4"/>
  <c r="O46" i="4"/>
  <c r="P46" i="4"/>
  <c r="H49" i="4"/>
  <c r="O49" i="4"/>
  <c r="H50" i="4"/>
  <c r="O50" i="4"/>
  <c r="H51" i="4"/>
  <c r="H57" i="4" s="1"/>
  <c r="O51" i="4"/>
  <c r="H52" i="4"/>
  <c r="H53" i="4"/>
  <c r="O53" i="4"/>
  <c r="H54" i="4"/>
  <c r="H55" i="4"/>
  <c r="H56" i="4"/>
  <c r="O56" i="4"/>
  <c r="R56" i="4"/>
  <c r="R57" i="4" s="1"/>
  <c r="G57" i="4"/>
  <c r="I57" i="4"/>
  <c r="M57" i="4"/>
  <c r="H65" i="4"/>
  <c r="H68" i="4" s="1"/>
  <c r="H66" i="4"/>
  <c r="G68" i="4"/>
  <c r="I68" i="4"/>
  <c r="M68" i="4"/>
  <c r="H71" i="4"/>
  <c r="H73" i="4" s="1"/>
  <c r="H72" i="4"/>
  <c r="O72" i="4"/>
  <c r="G73" i="4"/>
  <c r="I73" i="4"/>
  <c r="M73" i="4"/>
  <c r="O73" i="4"/>
  <c r="R73" i="4"/>
  <c r="H76" i="4"/>
  <c r="O76" i="4"/>
  <c r="H77" i="4"/>
  <c r="O77" i="4"/>
  <c r="H78" i="4"/>
  <c r="H79" i="4"/>
  <c r="H80" i="4"/>
  <c r="H81" i="4"/>
  <c r="H82" i="4"/>
  <c r="H85" i="4" s="1"/>
  <c r="H83" i="4"/>
  <c r="H84" i="4"/>
  <c r="G85" i="4"/>
  <c r="I85" i="4"/>
  <c r="M85" i="4"/>
  <c r="R85" i="4"/>
  <c r="H88" i="4"/>
  <c r="H91" i="4" s="1"/>
  <c r="O88" i="4"/>
  <c r="H89" i="4"/>
  <c r="O89" i="4"/>
  <c r="O91" i="4" s="1"/>
  <c r="H90" i="4"/>
  <c r="G91" i="4"/>
  <c r="I91" i="4"/>
  <c r="M91" i="4"/>
  <c r="R91" i="4"/>
  <c r="R133" i="4" s="1"/>
  <c r="H94" i="4"/>
  <c r="H95" i="4" s="1"/>
  <c r="O94" i="4"/>
  <c r="G95" i="4"/>
  <c r="I95" i="4"/>
  <c r="M95" i="4"/>
  <c r="O95" i="4"/>
  <c r="R95" i="4"/>
  <c r="P98" i="4"/>
  <c r="G99" i="4"/>
  <c r="H99" i="4"/>
  <c r="I99" i="4"/>
  <c r="J99" i="4"/>
  <c r="L99" i="4"/>
  <c r="M99" i="4"/>
  <c r="O99" i="4"/>
  <c r="P99" i="4"/>
  <c r="R99" i="4"/>
  <c r="H102" i="4"/>
  <c r="J102" i="4"/>
  <c r="J104" i="4" s="1"/>
  <c r="L102" i="4"/>
  <c r="H103" i="4"/>
  <c r="J103" i="4"/>
  <c r="L103" i="4" s="1"/>
  <c r="O103" i="4"/>
  <c r="O104" i="4" s="1"/>
  <c r="G104" i="4"/>
  <c r="H104" i="4"/>
  <c r="I104" i="4"/>
  <c r="M104" i="4"/>
  <c r="R104" i="4"/>
  <c r="O106" i="4"/>
  <c r="P106" i="4" s="1"/>
  <c r="H107" i="4"/>
  <c r="G108" i="4"/>
  <c r="H108" i="4"/>
  <c r="I108" i="4"/>
  <c r="M108" i="4"/>
  <c r="H112" i="4"/>
  <c r="H114" i="4"/>
  <c r="O114" i="4"/>
  <c r="H116" i="4"/>
  <c r="O116" i="4"/>
  <c r="O119" i="4"/>
  <c r="P119" i="4"/>
  <c r="G120" i="4"/>
  <c r="H120" i="4" s="1"/>
  <c r="L120" i="4"/>
  <c r="M120" i="4"/>
  <c r="H121" i="4"/>
  <c r="H122" i="4"/>
  <c r="H123" i="4"/>
  <c r="G124" i="4"/>
  <c r="I124" i="4"/>
  <c r="M124" i="4"/>
  <c r="H126" i="4"/>
  <c r="H128" i="4"/>
  <c r="L128" i="4"/>
  <c r="P128" i="4"/>
  <c r="H130" i="4"/>
  <c r="L130" i="4"/>
  <c r="P130" i="4"/>
  <c r="G133" i="4"/>
  <c r="B8" i="27"/>
  <c r="C19" i="17"/>
  <c r="D19" i="17"/>
  <c r="D29" i="17" s="1"/>
  <c r="E19" i="17"/>
  <c r="E29" i="17" s="1"/>
  <c r="F19" i="17"/>
  <c r="G19" i="17"/>
  <c r="H19" i="17"/>
  <c r="I19" i="17"/>
  <c r="J19" i="17"/>
  <c r="K19" i="17"/>
  <c r="L19" i="17"/>
  <c r="L29" i="17" s="1"/>
  <c r="L31" i="17" s="1"/>
  <c r="M19" i="17"/>
  <c r="M29" i="17" s="1"/>
  <c r="M31" i="17" s="1"/>
  <c r="M33" i="17" s="1"/>
  <c r="N19" i="17"/>
  <c r="C21" i="17"/>
  <c r="D21" i="17"/>
  <c r="E21" i="17"/>
  <c r="F21" i="17"/>
  <c r="K21" i="17"/>
  <c r="L21" i="17"/>
  <c r="M21" i="17"/>
  <c r="N21" i="17"/>
  <c r="O26" i="17"/>
  <c r="O27" i="17"/>
  <c r="C28" i="17"/>
  <c r="D28" i="17"/>
  <c r="E28" i="17"/>
  <c r="F28" i="17"/>
  <c r="F29" i="17" s="1"/>
  <c r="F31" i="17" s="1"/>
  <c r="F33" i="17" s="1"/>
  <c r="G28" i="17"/>
  <c r="H28" i="17"/>
  <c r="O28" i="17" s="1"/>
  <c r="I28" i="17"/>
  <c r="J28" i="17"/>
  <c r="K28" i="17"/>
  <c r="L28" i="17"/>
  <c r="M28" i="17"/>
  <c r="N28" i="17"/>
  <c r="N29" i="17" s="1"/>
  <c r="C29" i="17"/>
  <c r="H29" i="17"/>
  <c r="J29" i="17"/>
  <c r="K29" i="17"/>
  <c r="C30" i="17"/>
  <c r="D30" i="17"/>
  <c r="E30" i="17"/>
  <c r="F30" i="17"/>
  <c r="K30" i="17"/>
  <c r="L30" i="17"/>
  <c r="M30" i="17"/>
  <c r="N30" i="17"/>
  <c r="N31" i="17"/>
  <c r="N33" i="17" s="1"/>
  <c r="L33" i="17"/>
  <c r="A35" i="17"/>
  <c r="D20" i="23"/>
  <c r="D29" i="23"/>
  <c r="D34" i="23"/>
  <c r="D46" i="23"/>
  <c r="D52" i="23"/>
  <c r="D56" i="23"/>
  <c r="D60" i="23"/>
  <c r="D64" i="23"/>
  <c r="D68" i="23"/>
  <c r="D72" i="23"/>
  <c r="D78" i="23"/>
  <c r="D83" i="23"/>
  <c r="D87" i="23"/>
  <c r="D8" i="26"/>
  <c r="D9" i="26"/>
  <c r="D10" i="26"/>
  <c r="D12" i="26"/>
  <c r="D13" i="26"/>
  <c r="C14" i="26"/>
  <c r="E14" i="26"/>
  <c r="F14" i="26"/>
  <c r="D17" i="26"/>
  <c r="D18" i="26"/>
  <c r="D19" i="26"/>
  <c r="D20" i="26"/>
  <c r="D21" i="26"/>
  <c r="D22" i="26"/>
  <c r="D23" i="26"/>
  <c r="D24" i="26"/>
  <c r="D26" i="26"/>
  <c r="D27" i="26"/>
  <c r="C28" i="26"/>
  <c r="E28" i="26"/>
  <c r="F28" i="26"/>
  <c r="D31" i="26"/>
  <c r="D32" i="26"/>
  <c r="F32" i="26"/>
  <c r="D33" i="26"/>
  <c r="F33" i="26"/>
  <c r="D34" i="26"/>
  <c r="F34" i="26"/>
  <c r="D35" i="26"/>
  <c r="F35" i="26"/>
  <c r="D36" i="26"/>
  <c r="D37" i="26"/>
  <c r="C38" i="26"/>
  <c r="E38" i="26"/>
  <c r="D41" i="26"/>
  <c r="D43" i="26"/>
  <c r="D51" i="26" s="1"/>
  <c r="D22" i="29" s="1"/>
  <c r="H22" i="29" s="1"/>
  <c r="D44" i="26"/>
  <c r="D45" i="26"/>
  <c r="D46" i="26"/>
  <c r="D47" i="26"/>
  <c r="D48" i="26"/>
  <c r="D49" i="26"/>
  <c r="E49" i="26"/>
  <c r="D50" i="26"/>
  <c r="C51" i="26"/>
  <c r="E51" i="26"/>
  <c r="F51" i="26"/>
  <c r="D55" i="26"/>
  <c r="D62" i="26" s="1"/>
  <c r="D56" i="26"/>
  <c r="D57" i="26"/>
  <c r="E57" i="26"/>
  <c r="E62" i="26" s="1"/>
  <c r="D58" i="26"/>
  <c r="D59" i="26"/>
  <c r="D60" i="26"/>
  <c r="D61" i="26"/>
  <c r="C62" i="26"/>
  <c r="F62" i="26"/>
  <c r="D65" i="26"/>
  <c r="D66" i="26"/>
  <c r="D67" i="26"/>
  <c r="D68" i="26"/>
  <c r="D69" i="26"/>
  <c r="D70" i="26"/>
  <c r="D71" i="26"/>
  <c r="D72" i="26"/>
  <c r="C73" i="26"/>
  <c r="D73" i="26"/>
  <c r="D24" i="29" s="1"/>
  <c r="H24" i="29" s="1"/>
  <c r="E73" i="26"/>
  <c r="F73" i="26"/>
  <c r="D75" i="26"/>
  <c r="D82" i="26" s="1"/>
  <c r="C82" i="26"/>
  <c r="E82" i="26"/>
  <c r="F82" i="26"/>
  <c r="F25" i="29" s="1"/>
  <c r="D84" i="26"/>
  <c r="D85" i="26" s="1"/>
  <c r="C85" i="26"/>
  <c r="C110" i="26" s="1"/>
  <c r="E85" i="26"/>
  <c r="F85" i="26"/>
  <c r="C87" i="26"/>
  <c r="D87" i="26"/>
  <c r="D27" i="29" s="1"/>
  <c r="F87" i="26"/>
  <c r="F88" i="26" s="1"/>
  <c r="C88" i="26"/>
  <c r="D88" i="26"/>
  <c r="E88" i="26"/>
  <c r="D91" i="26"/>
  <c r="D92" i="26"/>
  <c r="D93" i="26"/>
  <c r="D94" i="26"/>
  <c r="C95" i="26"/>
  <c r="C96" i="26" s="1"/>
  <c r="D95" i="26"/>
  <c r="E96" i="26"/>
  <c r="F96" i="26"/>
  <c r="D98" i="26"/>
  <c r="C99" i="26"/>
  <c r="D99" i="26"/>
  <c r="E99" i="26"/>
  <c r="F99" i="26"/>
  <c r="D101" i="26"/>
  <c r="D102" i="26" s="1"/>
  <c r="C102" i="26"/>
  <c r="E102" i="26"/>
  <c r="E110" i="26" s="1"/>
  <c r="F102" i="26"/>
  <c r="D105" i="26"/>
  <c r="D106" i="26"/>
  <c r="C107" i="26"/>
  <c r="E107" i="26"/>
  <c r="F107" i="26"/>
  <c r="C10" i="28"/>
  <c r="D10" i="28"/>
  <c r="C11" i="28"/>
  <c r="D11" i="28" s="1"/>
  <c r="C12" i="28"/>
  <c r="D12" i="28"/>
  <c r="C13" i="28"/>
  <c r="D13" i="28" s="1"/>
  <c r="D14" i="28"/>
  <c r="D18" i="28"/>
  <c r="D19" i="28"/>
  <c r="D21" i="28"/>
  <c r="D27" i="28" s="1"/>
  <c r="D23" i="28"/>
  <c r="D26" i="28"/>
  <c r="C27" i="28"/>
  <c r="C30" i="28"/>
  <c r="C31" i="28"/>
  <c r="D31" i="28" s="1"/>
  <c r="C32" i="28"/>
  <c r="D32" i="28"/>
  <c r="D36" i="28"/>
  <c r="C38" i="28"/>
  <c r="D38" i="28"/>
  <c r="G7" i="12"/>
  <c r="I7" i="12"/>
  <c r="I11" i="12" s="1"/>
  <c r="I19" i="12" s="1"/>
  <c r="I23" i="12" s="1"/>
  <c r="K7" i="12"/>
  <c r="M7" i="12"/>
  <c r="M11" i="12" s="1"/>
  <c r="E9" i="12"/>
  <c r="K9" i="12"/>
  <c r="M9" i="12"/>
  <c r="C11" i="12"/>
  <c r="C19" i="12" s="1"/>
  <c r="C23" i="12" s="1"/>
  <c r="E11" i="12"/>
  <c r="G11" i="12"/>
  <c r="K11" i="12"/>
  <c r="K19" i="12" s="1"/>
  <c r="K23" i="12" s="1"/>
  <c r="E13" i="12"/>
  <c r="G13" i="12"/>
  <c r="G17" i="12" s="1"/>
  <c r="I13" i="12"/>
  <c r="K13" i="12"/>
  <c r="K15" i="12"/>
  <c r="M15" i="12"/>
  <c r="C17" i="12"/>
  <c r="E17" i="12"/>
  <c r="I17" i="12"/>
  <c r="K17" i="12"/>
  <c r="E19" i="12"/>
  <c r="E21" i="12"/>
  <c r="E23" i="12" s="1"/>
  <c r="M21" i="12"/>
  <c r="G27" i="12"/>
  <c r="I27" i="12"/>
  <c r="I29" i="12" s="1"/>
  <c r="K27" i="12"/>
  <c r="M27" i="12"/>
  <c r="I28" i="12"/>
  <c r="K28" i="12"/>
  <c r="K29" i="12" s="1"/>
  <c r="C29" i="12"/>
  <c r="E29" i="12"/>
  <c r="D1" i="18"/>
  <c r="D2" i="18"/>
  <c r="I1" i="18" s="1"/>
  <c r="D3" i="18"/>
  <c r="D4" i="18"/>
  <c r="A24" i="18"/>
  <c r="B21" i="25"/>
  <c r="H6" i="29"/>
  <c r="H7" i="29"/>
  <c r="H8" i="29"/>
  <c r="H9" i="29"/>
  <c r="H10" i="29"/>
  <c r="H11" i="29"/>
  <c r="D13" i="29"/>
  <c r="D17" i="29" s="1"/>
  <c r="F13" i="29"/>
  <c r="H15" i="29"/>
  <c r="F17" i="29"/>
  <c r="F19" i="29"/>
  <c r="F20" i="29"/>
  <c r="F22" i="29"/>
  <c r="D23" i="29"/>
  <c r="H23" i="29" s="1"/>
  <c r="F23" i="29"/>
  <c r="F24" i="29"/>
  <c r="D25" i="29"/>
  <c r="H25" i="29"/>
  <c r="D26" i="29"/>
  <c r="H26" i="29" s="1"/>
  <c r="F26" i="29"/>
  <c r="F28" i="29"/>
  <c r="D29" i="29"/>
  <c r="F29" i="29"/>
  <c r="D30" i="29"/>
  <c r="H30" i="29" s="1"/>
  <c r="F30" i="29"/>
  <c r="F31" i="29"/>
  <c r="H39" i="29"/>
  <c r="H45" i="29" s="1"/>
  <c r="H40" i="29"/>
  <c r="H41" i="29"/>
  <c r="D42" i="29"/>
  <c r="F42" i="29"/>
  <c r="F45" i="29" s="1"/>
  <c r="H42" i="29"/>
  <c r="H43" i="29"/>
  <c r="D45" i="29"/>
  <c r="O7" i="9"/>
  <c r="O8" i="9"/>
  <c r="O9" i="9"/>
  <c r="O10" i="9"/>
  <c r="O11" i="9"/>
  <c r="O12" i="9"/>
  <c r="C13" i="9"/>
  <c r="D13" i="9"/>
  <c r="E13" i="9"/>
  <c r="F13" i="9"/>
  <c r="G13" i="9"/>
  <c r="H13" i="9"/>
  <c r="P13" i="9" s="1"/>
  <c r="I13" i="9"/>
  <c r="J13" i="9"/>
  <c r="K13" i="9"/>
  <c r="L13" i="9"/>
  <c r="M13" i="9"/>
  <c r="N13" i="9"/>
  <c r="K8" i="18"/>
  <c r="G9" i="18"/>
  <c r="O9" i="18"/>
  <c r="K10" i="18"/>
  <c r="G11" i="18"/>
  <c r="O11" i="18"/>
  <c r="K12" i="18"/>
  <c r="G13" i="18"/>
  <c r="O13" i="18"/>
  <c r="K14" i="18"/>
  <c r="G15" i="18"/>
  <c r="O15" i="18"/>
  <c r="K16" i="18"/>
  <c r="G17" i="18"/>
  <c r="O17" i="18"/>
  <c r="K18" i="18"/>
  <c r="K20" i="18"/>
  <c r="E8" i="18"/>
  <c r="M8" i="18"/>
  <c r="I9" i="18"/>
  <c r="E10" i="18"/>
  <c r="M10" i="18"/>
  <c r="I11" i="18"/>
  <c r="E12" i="18"/>
  <c r="M12" i="18"/>
  <c r="F8" i="18"/>
  <c r="N8" i="18"/>
  <c r="J9" i="18"/>
  <c r="F10" i="18"/>
  <c r="N10" i="18"/>
  <c r="J11" i="18"/>
  <c r="F12" i="18"/>
  <c r="N12" i="18"/>
  <c r="J13" i="18"/>
  <c r="F14" i="18"/>
  <c r="N14" i="18"/>
  <c r="J15" i="18"/>
  <c r="F16" i="18"/>
  <c r="N16" i="18"/>
  <c r="J17" i="18"/>
  <c r="F18" i="18"/>
  <c r="N18" i="18"/>
  <c r="F20" i="18"/>
  <c r="N20" i="18"/>
  <c r="O8" i="18"/>
  <c r="N9" i="18"/>
  <c r="D11" i="18"/>
  <c r="D12" i="18"/>
  <c r="E13" i="18"/>
  <c r="D14" i="18"/>
  <c r="O14" i="18"/>
  <c r="M15" i="18"/>
  <c r="L16" i="18"/>
  <c r="K17" i="18"/>
  <c r="I18" i="18"/>
  <c r="G20" i="18"/>
  <c r="H9" i="18"/>
  <c r="H15" i="18"/>
  <c r="O18" i="18"/>
  <c r="J10" i="18"/>
  <c r="L12" i="18"/>
  <c r="I15" i="18"/>
  <c r="E18" i="18"/>
  <c r="L9" i="18"/>
  <c r="L10" i="18"/>
  <c r="O12" i="18"/>
  <c r="M13" i="18"/>
  <c r="K15" i="18"/>
  <c r="H17" i="18"/>
  <c r="D20" i="18"/>
  <c r="L8" i="18"/>
  <c r="O10" i="18"/>
  <c r="D13" i="18"/>
  <c r="M14" i="18"/>
  <c r="I17" i="18"/>
  <c r="D9" i="18"/>
  <c r="D10" i="18"/>
  <c r="E11" i="18"/>
  <c r="G12" i="18"/>
  <c r="F13" i="18"/>
  <c r="E14" i="18"/>
  <c r="D15" i="18"/>
  <c r="N15" i="18"/>
  <c r="M16" i="18"/>
  <c r="L17" i="18"/>
  <c r="J18" i="18"/>
  <c r="H20" i="18"/>
  <c r="K11" i="18"/>
  <c r="J12" i="18"/>
  <c r="G16" i="18"/>
  <c r="I8" i="18"/>
  <c r="L11" i="18"/>
  <c r="L13" i="18"/>
  <c r="H16" i="18"/>
  <c r="M20" i="18"/>
  <c r="J8" i="18"/>
  <c r="D8" i="18"/>
  <c r="E9" i="18"/>
  <c r="G10" i="18"/>
  <c r="F11" i="18"/>
  <c r="H12" i="18"/>
  <c r="H13" i="18"/>
  <c r="G14" i="18"/>
  <c r="E15" i="18"/>
  <c r="D16" i="18"/>
  <c r="O16" i="18"/>
  <c r="M17" i="18"/>
  <c r="L18" i="18"/>
  <c r="I20" i="18"/>
  <c r="I10" i="18"/>
  <c r="I14" i="18"/>
  <c r="E17" i="18"/>
  <c r="L20" i="18"/>
  <c r="K9" i="18"/>
  <c r="J14" i="18"/>
  <c r="F17" i="18"/>
  <c r="M11" i="18"/>
  <c r="L14" i="18"/>
  <c r="I16" i="18"/>
  <c r="G18" i="18"/>
  <c r="O20" i="18"/>
  <c r="M9" i="18"/>
  <c r="N11" i="18"/>
  <c r="N13" i="18"/>
  <c r="L15" i="18"/>
  <c r="J16" i="18"/>
  <c r="H18" i="18"/>
  <c r="E20" i="18"/>
  <c r="G8" i="18"/>
  <c r="F9" i="18"/>
  <c r="H10" i="18"/>
  <c r="H11" i="18"/>
  <c r="I12" i="18"/>
  <c r="I13" i="18"/>
  <c r="H14" i="18"/>
  <c r="F15" i="18"/>
  <c r="E16" i="18"/>
  <c r="D17" i="18"/>
  <c r="N17" i="18"/>
  <c r="M18" i="18"/>
  <c r="J20" i="18"/>
  <c r="H8" i="18"/>
  <c r="K13" i="18"/>
  <c r="D18" i="18"/>
  <c r="H19" i="18" l="1"/>
  <c r="H21" i="18" s="1"/>
  <c r="G19" i="18"/>
  <c r="G21" i="18" s="1"/>
  <c r="D19" i="18"/>
  <c r="D21" i="18" s="1"/>
  <c r="J19" i="18"/>
  <c r="J21" i="18" s="1"/>
  <c r="I19" i="18"/>
  <c r="I21" i="18" s="1"/>
  <c r="L19" i="18"/>
  <c r="L21" i="18" s="1"/>
  <c r="O19" i="18"/>
  <c r="O21" i="18" s="1"/>
  <c r="N19" i="18"/>
  <c r="N21" i="18" s="1"/>
  <c r="F19" i="18"/>
  <c r="F21" i="18" s="1"/>
  <c r="M19" i="18"/>
  <c r="M21" i="18" s="1"/>
  <c r="E19" i="18"/>
  <c r="E21" i="18" s="1"/>
  <c r="K19" i="18"/>
  <c r="K21" i="18" s="1"/>
  <c r="F110" i="26"/>
  <c r="I21" i="24"/>
  <c r="M19" i="12"/>
  <c r="M23" i="12" s="1"/>
  <c r="H31" i="17"/>
  <c r="H33" i="17" s="1"/>
  <c r="G19" i="12"/>
  <c r="G23" i="12" s="1"/>
  <c r="D28" i="26"/>
  <c r="D20" i="29" s="1"/>
  <c r="H20" i="29" s="1"/>
  <c r="P102" i="4"/>
  <c r="P104" i="4" s="1"/>
  <c r="L104" i="4"/>
  <c r="O13" i="9"/>
  <c r="H13" i="29"/>
  <c r="H17" i="29" s="1"/>
  <c r="D15" i="28"/>
  <c r="D39" i="28" s="1"/>
  <c r="F38" i="26"/>
  <c r="F21" i="29" s="1"/>
  <c r="G14" i="26"/>
  <c r="D14" i="26"/>
  <c r="D19" i="29" s="1"/>
  <c r="F60" i="23"/>
  <c r="O30" i="17"/>
  <c r="M133" i="4"/>
  <c r="O85" i="4"/>
  <c r="O57" i="4"/>
  <c r="Q12" i="24"/>
  <c r="G21" i="17"/>
  <c r="G30" i="17"/>
  <c r="G29" i="17"/>
  <c r="G31" i="17" s="1"/>
  <c r="G33" i="17" s="1"/>
  <c r="L22" i="4"/>
  <c r="C31" i="17"/>
  <c r="P103" i="4"/>
  <c r="J13" i="24"/>
  <c r="B21" i="24"/>
  <c r="E12" i="24"/>
  <c r="H29" i="29"/>
  <c r="E31" i="17"/>
  <c r="E33" i="17" s="1"/>
  <c r="D31" i="17"/>
  <c r="D33" i="17" s="1"/>
  <c r="M13" i="12"/>
  <c r="M17" i="12" s="1"/>
  <c r="D96" i="26"/>
  <c r="D28" i="29" s="1"/>
  <c r="H28" i="29" s="1"/>
  <c r="K31" i="17"/>
  <c r="K33" i="17" s="1"/>
  <c r="J21" i="17"/>
  <c r="J30" i="17"/>
  <c r="I133" i="4"/>
  <c r="J14" i="4"/>
  <c r="L12" i="4"/>
  <c r="G21" i="24"/>
  <c r="C15" i="28"/>
  <c r="F34" i="23"/>
  <c r="J21" i="24"/>
  <c r="M21" i="24" s="1"/>
  <c r="M12" i="24"/>
  <c r="F27" i="29"/>
  <c r="H27" i="29" s="1"/>
  <c r="C33" i="28"/>
  <c r="D107" i="26"/>
  <c r="D38" i="26"/>
  <c r="D21" i="29" s="1"/>
  <c r="H21" i="29" s="1"/>
  <c r="D89" i="23"/>
  <c r="F46" i="23"/>
  <c r="J31" i="17"/>
  <c r="J33" i="17" s="1"/>
  <c r="I21" i="17"/>
  <c r="I30" i="17"/>
  <c r="L14" i="4"/>
  <c r="R15" i="24"/>
  <c r="F64" i="23"/>
  <c r="F33" i="29"/>
  <c r="F35" i="29" s="1"/>
  <c r="D49" i="29" s="1"/>
  <c r="I29" i="17"/>
  <c r="H21" i="17"/>
  <c r="H30" i="17"/>
  <c r="H124" i="4"/>
  <c r="H133" i="4" s="1"/>
  <c r="C25" i="4"/>
  <c r="G28" i="12"/>
  <c r="M28" i="12" s="1"/>
  <c r="M29" i="12" s="1"/>
  <c r="J22" i="4"/>
  <c r="J25" i="4" s="1"/>
  <c r="D30" i="28"/>
  <c r="D33" i="28" s="1"/>
  <c r="C28" i="4" l="1"/>
  <c r="F89" i="23"/>
  <c r="H89" i="23"/>
  <c r="H19" i="29"/>
  <c r="H33" i="29" s="1"/>
  <c r="H35" i="29" s="1"/>
  <c r="F14" i="23"/>
  <c r="J51" i="4" s="1"/>
  <c r="L51" i="4" s="1"/>
  <c r="P51" i="4" s="1"/>
  <c r="F18" i="23"/>
  <c r="J54" i="4" s="1"/>
  <c r="L54" i="4" s="1"/>
  <c r="F33" i="23"/>
  <c r="J72" i="4" s="1"/>
  <c r="L72" i="4" s="1"/>
  <c r="P72" i="4" s="1"/>
  <c r="F59" i="23"/>
  <c r="F77" i="23"/>
  <c r="F24" i="23"/>
  <c r="J62" i="4" s="1"/>
  <c r="L62" i="4" s="1"/>
  <c r="F28" i="23"/>
  <c r="J67" i="4" s="1"/>
  <c r="L67" i="4" s="1"/>
  <c r="F39" i="23"/>
  <c r="J78" i="4" s="1"/>
  <c r="L78" i="4" s="1"/>
  <c r="F43" i="23"/>
  <c r="J82" i="4" s="1"/>
  <c r="L82" i="4" s="1"/>
  <c r="F52" i="23"/>
  <c r="F15" i="23"/>
  <c r="J50" i="4" s="1"/>
  <c r="L50" i="4" s="1"/>
  <c r="P50" i="4" s="1"/>
  <c r="F19" i="23"/>
  <c r="J52" i="4" s="1"/>
  <c r="L52" i="4" s="1"/>
  <c r="F49" i="23"/>
  <c r="F67" i="23"/>
  <c r="F72" i="23"/>
  <c r="F25" i="23"/>
  <c r="J63" i="4" s="1"/>
  <c r="L63" i="4" s="1"/>
  <c r="F40" i="23"/>
  <c r="J79" i="4" s="1"/>
  <c r="L79" i="4" s="1"/>
  <c r="F44" i="23"/>
  <c r="J83" i="4" s="1"/>
  <c r="L83" i="4" s="1"/>
  <c r="F55" i="23"/>
  <c r="J94" i="4" s="1"/>
  <c r="F12" i="23"/>
  <c r="J55" i="4" s="1"/>
  <c r="L55" i="4" s="1"/>
  <c r="F42" i="23"/>
  <c r="J81" i="4" s="1"/>
  <c r="L81" i="4" s="1"/>
  <c r="F45" i="23"/>
  <c r="J84" i="4" s="1"/>
  <c r="L84" i="4" s="1"/>
  <c r="F86" i="23"/>
  <c r="F87" i="23" s="1"/>
  <c r="F20" i="23"/>
  <c r="F29" i="23"/>
  <c r="F38" i="23"/>
  <c r="J77" i="4" s="1"/>
  <c r="L77" i="4" s="1"/>
  <c r="P77" i="4" s="1"/>
  <c r="F56" i="23"/>
  <c r="F68" i="23"/>
  <c r="F16" i="23"/>
  <c r="J53" i="4" s="1"/>
  <c r="L53" i="4" s="1"/>
  <c r="P53" i="4" s="1"/>
  <c r="F82" i="23"/>
  <c r="F13" i="23"/>
  <c r="J56" i="4" s="1"/>
  <c r="L56" i="4" s="1"/>
  <c r="P56" i="4" s="1"/>
  <c r="F50" i="23"/>
  <c r="F26" i="23"/>
  <c r="J64" i="4" s="1"/>
  <c r="L64" i="4" s="1"/>
  <c r="F63" i="23"/>
  <c r="F17" i="23"/>
  <c r="J49" i="4" s="1"/>
  <c r="F27" i="23"/>
  <c r="J66" i="4" s="1"/>
  <c r="L66" i="4" s="1"/>
  <c r="F37" i="23"/>
  <c r="J76" i="4" s="1"/>
  <c r="F76" i="23"/>
  <c r="F23" i="23"/>
  <c r="J61" i="4" s="1"/>
  <c r="F32" i="23"/>
  <c r="J71" i="4" s="1"/>
  <c r="F41" i="23"/>
  <c r="J80" i="4" s="1"/>
  <c r="L80" i="4" s="1"/>
  <c r="F71" i="23"/>
  <c r="F81" i="23"/>
  <c r="F83" i="23" s="1"/>
  <c r="F51" i="23"/>
  <c r="F75" i="23"/>
  <c r="D110" i="26"/>
  <c r="D31" i="29"/>
  <c r="H31" i="29" s="1"/>
  <c r="O133" i="4"/>
  <c r="R12" i="24"/>
  <c r="J22" i="24"/>
  <c r="E21" i="24"/>
  <c r="R21" i="24" s="1"/>
  <c r="J26" i="4"/>
  <c r="J28" i="4" s="1"/>
  <c r="L28" i="4" s="1"/>
  <c r="L25" i="4"/>
  <c r="J27" i="4"/>
  <c r="O29" i="17"/>
  <c r="I31" i="17"/>
  <c r="I33" i="17" s="1"/>
  <c r="C33" i="17"/>
  <c r="G29" i="12"/>
  <c r="D48" i="29"/>
  <c r="F78" i="23" l="1"/>
  <c r="J121" i="4"/>
  <c r="J73" i="4"/>
  <c r="L71" i="4"/>
  <c r="O33" i="17"/>
  <c r="J57" i="4"/>
  <c r="L49" i="4"/>
  <c r="J95" i="4"/>
  <c r="L94" i="4"/>
  <c r="J65" i="4"/>
  <c r="J68" i="4" s="1"/>
  <c r="L61" i="4"/>
  <c r="L65" i="4" s="1"/>
  <c r="L68" i="4" s="1"/>
  <c r="D33" i="29"/>
  <c r="D35" i="29" s="1"/>
  <c r="L30" i="4"/>
  <c r="L76" i="4"/>
  <c r="J85" i="4"/>
  <c r="O31" i="17"/>
  <c r="H23" i="23"/>
  <c r="H27" i="23"/>
  <c r="H38" i="23"/>
  <c r="H42" i="23"/>
  <c r="H71" i="23"/>
  <c r="J116" i="4" s="1"/>
  <c r="L116" i="4" s="1"/>
  <c r="P116" i="4" s="1"/>
  <c r="H82" i="23"/>
  <c r="H14" i="23"/>
  <c r="H18" i="23"/>
  <c r="H33" i="23"/>
  <c r="H59" i="23"/>
  <c r="J107" i="4" s="1"/>
  <c r="H77" i="23"/>
  <c r="J123" i="4" s="1"/>
  <c r="L123" i="4" s="1"/>
  <c r="H24" i="23"/>
  <c r="H28" i="23"/>
  <c r="H39" i="23"/>
  <c r="H43" i="23"/>
  <c r="H52" i="23"/>
  <c r="H15" i="23"/>
  <c r="H19" i="23"/>
  <c r="H49" i="23"/>
  <c r="J88" i="4" s="1"/>
  <c r="H67" i="23"/>
  <c r="J114" i="4" s="1"/>
  <c r="L114" i="4" s="1"/>
  <c r="P114" i="4" s="1"/>
  <c r="H72" i="23"/>
  <c r="H37" i="23"/>
  <c r="H45" i="23"/>
  <c r="H76" i="23"/>
  <c r="J122" i="4" s="1"/>
  <c r="L122" i="4" s="1"/>
  <c r="H86" i="23"/>
  <c r="H34" i="23"/>
  <c r="H63" i="23"/>
  <c r="J112" i="4" s="1"/>
  <c r="L112" i="4" s="1"/>
  <c r="P112" i="4" s="1"/>
  <c r="H17" i="23"/>
  <c r="H12" i="23"/>
  <c r="H41" i="23"/>
  <c r="H81" i="23"/>
  <c r="H83" i="23" s="1"/>
  <c r="H51" i="23"/>
  <c r="J90" i="4" s="1"/>
  <c r="L90" i="4" s="1"/>
  <c r="P90" i="4" s="1"/>
  <c r="H26" i="23"/>
  <c r="H20" i="23"/>
  <c r="H29" i="23"/>
  <c r="H40" i="23"/>
  <c r="H56" i="23"/>
  <c r="H68" i="23"/>
  <c r="H32" i="23"/>
  <c r="H60" i="23"/>
  <c r="H44" i="23"/>
  <c r="H75" i="23"/>
  <c r="H78" i="23" s="1"/>
  <c r="H55" i="23"/>
  <c r="H13" i="23"/>
  <c r="H50" i="23"/>
  <c r="J89" i="4" s="1"/>
  <c r="L89" i="4" s="1"/>
  <c r="P89" i="4" s="1"/>
  <c r="H25" i="23"/>
  <c r="H16" i="23"/>
  <c r="H46" i="23"/>
  <c r="H64" i="23"/>
  <c r="L57" i="4" l="1"/>
  <c r="P49" i="4"/>
  <c r="P57" i="4" s="1"/>
  <c r="L85" i="4"/>
  <c r="P76" i="4"/>
  <c r="P85" i="4" s="1"/>
  <c r="P30" i="4"/>
  <c r="P40" i="4" s="1"/>
  <c r="L40" i="4"/>
  <c r="J40" i="4" s="1"/>
  <c r="L73" i="4"/>
  <c r="P71" i="4"/>
  <c r="P73" i="4" s="1"/>
  <c r="L107" i="4"/>
  <c r="L108" i="4" s="1"/>
  <c r="J108" i="4"/>
  <c r="L121" i="4"/>
  <c r="L124" i="4" s="1"/>
  <c r="J124" i="4"/>
  <c r="L88" i="4"/>
  <c r="J91" i="4"/>
  <c r="H87" i="23"/>
  <c r="J126" i="4"/>
  <c r="L126" i="4" s="1"/>
  <c r="P94" i="4"/>
  <c r="P95" i="4" s="1"/>
  <c r="L95" i="4"/>
  <c r="L91" i="4" l="1"/>
  <c r="L133" i="4" s="1"/>
  <c r="P88" i="4"/>
  <c r="P91" i="4" s="1"/>
  <c r="P133" i="4"/>
  <c r="J133" i="4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3.xml><?xml version="1.0" encoding="utf-8"?>
<comments xmlns="http://schemas.openxmlformats.org/spreadsheetml/2006/main">
  <authors>
    <author>least</author>
  </authors>
  <commentLis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$348,000 VP - 2
  340,800 Manager - 4
    33,000 Admin - 1
------------
$721,800 Annual
assume 4.25% merit increase as of February</t>
        </r>
      </text>
    </comment>
    <comment ref="C17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includes $6,871 Tuition reimbursement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<sst xmlns="http://schemas.openxmlformats.org/spreadsheetml/2006/main" count="648" uniqueCount="505">
  <si>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</si>
  <si>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</si>
  <si>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</si>
  <si>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</si>
  <si>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</si>
  <si>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</si>
  <si>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</si>
  <si>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</si>
  <si>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</si>
  <si>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</si>
  <si>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</si>
  <si>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</si>
  <si>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</si>
  <si>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</si>
  <si>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</si>
  <si>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</si>
  <si>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</si>
  <si>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</si>
  <si>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</si>
  <si>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</si>
  <si>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</si>
  <si>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</si>
  <si>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</si>
  <si>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</si>
  <si>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</si>
  <si>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</si>
  <si>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</si>
  <si>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</si>
  <si>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</si>
  <si>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</si>
  <si>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</si>
  <si>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</si>
  <si>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</si>
  <si>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</si>
  <si>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</si>
  <si>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</si>
  <si>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</si>
  <si>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</si>
  <si>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</si>
  <si>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</si>
  <si>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</si>
  <si>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</si>
  <si>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</si>
  <si>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</si>
  <si>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</si>
  <si>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</si>
  <si>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</si>
  <si>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</si>
  <si>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</si>
  <si>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</si>
  <si>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</si>
  <si>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</si>
  <si>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</si>
  <si>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</si>
  <si>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</si>
  <si>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</si>
  <si>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</si>
  <si>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</si>
  <si>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</si>
  <si>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</si>
  <si>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</si>
  <si>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</si>
  <si>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</si>
  <si>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</si>
  <si>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</si>
  <si>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</si>
  <si>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</si>
  <si>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</si>
  <si>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</si>
  <si>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</si>
  <si>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</si>
  <si>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</si>
  <si>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</si>
  <si>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</si>
  <si>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</si>
  <si>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</si>
  <si>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</si>
  <si>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</si>
  <si>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</si>
  <si>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</si>
  <si>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</si>
  <si>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</si>
  <si>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</si>
  <si>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</si>
  <si>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</si>
  <si>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</si>
  <si>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</si>
  <si>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</si>
  <si>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</si>
  <si>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</si>
  <si>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</si>
  <si>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</si>
  <si>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</si>
  <si>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</si>
  <si>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</si>
  <si>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</si>
  <si>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</si>
  <si>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</si>
  <si>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</si>
  <si>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</si>
  <si>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</si>
  <si>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</si>
  <si>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</si>
  <si>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</si>
  <si>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</si>
  <si>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</si>
  <si>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</si>
  <si>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</si>
  <si>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</si>
  <si>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</si>
  <si>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</si>
  <si>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</si>
  <si>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</si>
  <si>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</si>
  <si>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</si>
  <si>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</si>
  <si>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</si>
  <si>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</si>
  <si>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</si>
  <si>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</si>
  <si>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</si>
  <si>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</si>
  <si>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</si>
  <si>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</si>
  <si>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</si>
  <si>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</si>
  <si>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</si>
  <si>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</si>
  <si>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</si>
  <si>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</si>
  <si>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</si>
  <si>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</si>
  <si>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</si>
  <si>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</si>
  <si>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</si>
  <si>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</si>
  <si>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</si>
  <si>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</si>
  <si>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</si>
  <si>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</si>
  <si>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</si>
  <si>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</si>
  <si>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</si>
  <si>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</si>
  <si>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</si>
  <si>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</si>
  <si>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</si>
  <si>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</si>
  <si>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</si>
  <si>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</si>
  <si>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</si>
  <si>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</si>
  <si>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</si>
  <si>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</si>
  <si>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</si>
  <si>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</si>
  <si>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</si>
  <si>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</si>
  <si>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</si>
  <si>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</si>
  <si>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</si>
  <si>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</si>
  <si>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</si>
  <si>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</si>
  <si>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</si>
  <si>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</si>
  <si>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</si>
  <si>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</si>
  <si>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</si>
  <si>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</si>
  <si>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</si>
  <si>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</si>
  <si>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</si>
  <si>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</si>
  <si>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</si>
  <si>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</si>
  <si>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</si>
  <si>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</si>
  <si>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</si>
  <si>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</si>
  <si>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</si>
  <si>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</si>
  <si>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</si>
  <si>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</si>
  <si>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</si>
  <si>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</si>
  <si>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</si>
  <si>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</si>
  <si>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</si>
  <si>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</si>
  <si>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</si>
  <si>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</si>
  <si>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</si>
  <si>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</si>
  <si>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</si>
  <si>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</si>
  <si>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</si>
  <si>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</si>
  <si>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</si>
  <si>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</si>
  <si>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</si>
  <si>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</si>
  <si>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</si>
  <si>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</si>
  <si>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</si>
  <si>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</si>
  <si>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</si>
  <si>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</si>
  <si>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</si>
  <si>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</si>
  <si>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</si>
  <si>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</si>
  <si>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</si>
  <si>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</si>
  <si>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</si>
  <si>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</si>
  <si>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</si>
  <si>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</si>
  <si>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</si>
  <si>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</si>
  <si>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</si>
  <si>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</si>
  <si>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</si>
  <si>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</si>
  <si>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</si>
  <si>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</si>
  <si>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</si>
  <si>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</si>
  <si>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</si>
  <si>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</si>
  <si>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</si>
  <si>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</si>
  <si>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</si>
  <si>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</si>
  <si>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</si>
  <si>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</si>
  <si>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</si>
  <si>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</si>
  <si>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</si>
  <si>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</si>
  <si>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</si>
  <si>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</si>
  <si>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</si>
  <si>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</si>
  <si>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</si>
  <si>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</si>
  <si>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</si>
  <si>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</si>
  <si>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</si>
  <si>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</si>
  <si>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</si>
  <si>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</si>
  <si>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</si>
  <si>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</si>
  <si>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</si>
  <si>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</si>
  <si>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</si>
  <si>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Recruiting Expenses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</si>
  <si>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</si>
  <si>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</si>
  <si>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</si>
  <si>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</si>
  <si>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</si>
  <si>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</si>
  <si>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</si>
  <si>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</si>
  <si>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</si>
  <si>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</si>
  <si>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</si>
  <si>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</si>
  <si>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</si>
  <si>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</si>
  <si>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</si>
  <si>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</si>
  <si>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</si>
  <si>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</si>
  <si>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</si>
  <si>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</si>
  <si>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</si>
  <si>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</si>
  <si>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</si>
  <si>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</si>
  <si>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</si>
  <si>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</si>
  <si>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</si>
  <si>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</si>
  <si>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</si>
  <si>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</si>
  <si>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</si>
  <si>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</si>
  <si>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</si>
  <si>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</si>
  <si>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</si>
  <si>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</si>
  <si>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</si>
  <si>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</si>
  <si>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CC #:  107321</t>
  </si>
  <si>
    <t>CC Name:  West Origination</t>
  </si>
  <si>
    <t>FORECAST</t>
  </si>
  <si>
    <t>PLAN</t>
  </si>
  <si>
    <t>2002</t>
  </si>
  <si>
    <t>2002 PLAN HEADCOUNT ASSUMPTIONS</t>
  </si>
  <si>
    <t>EMPLOYEE</t>
  </si>
  <si>
    <t>TITLE</t>
  </si>
  <si>
    <t>Grand Total</t>
  </si>
  <si>
    <t>2 Associates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</si>
  <si>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</si>
  <si>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</si>
  <si>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</si>
  <si>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</si>
  <si>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</si>
  <si>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</si>
  <si>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</si>
  <si>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</si>
  <si>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</si>
  <si>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</si>
  <si>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</si>
  <si>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</si>
  <si>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</si>
  <si>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</si>
  <si>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</si>
  <si>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</si>
  <si>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</si>
  <si>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</si>
  <si>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</si>
  <si>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</si>
  <si>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</si>
  <si>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</si>
  <si>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</si>
  <si>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</si>
  <si>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</si>
  <si>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</si>
  <si>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</si>
  <si>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</si>
  <si>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</si>
  <si>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</si>
  <si>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</si>
  <si>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</si>
  <si>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</si>
  <si>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</si>
  <si>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</si>
  <si>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</si>
  <si>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</si>
  <si>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</si>
  <si>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</si>
  <si>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</si>
  <si>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</si>
  <si>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Charitable Contributions</t>
  </si>
  <si>
    <t xml:space="preserve">   Rent - Office, Warehouse &amp; Tower</t>
  </si>
  <si>
    <t xml:space="preserve">                           TOTAL OFFICE</t>
  </si>
  <si>
    <t>Controllable Infrastructure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</si>
  <si>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</si>
  <si>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</si>
  <si>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</si>
  <si>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</si>
  <si>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</si>
  <si>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</si>
  <si>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</si>
  <si>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</si>
  <si>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</si>
  <si>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</si>
  <si>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</si>
  <si>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t xml:space="preserve">                           TOTAL ANALYSTS/ASSOCIATES</t>
  </si>
  <si>
    <t>Other Expense</t>
  </si>
  <si>
    <t xml:space="preserve">   Company Membership &amp; Dues</t>
  </si>
  <si>
    <t xml:space="preserve">   Advertising &amp; Promotions</t>
  </si>
  <si>
    <t xml:space="preserve">   Transportation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</si>
  <si>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</si>
  <si>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</si>
  <si>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</si>
  <si>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</si>
  <si>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</si>
  <si>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</si>
  <si>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</si>
  <si>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</si>
  <si>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</si>
  <si>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</si>
  <si>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</si>
  <si>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</si>
  <si>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</si>
  <si>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</si>
  <si>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</si>
  <si>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</si>
  <si>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</si>
  <si>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</si>
  <si>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</si>
  <si>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</si>
  <si>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</si>
  <si>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</si>
  <si>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</si>
  <si>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</si>
  <si>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</si>
  <si>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</si>
  <si>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</si>
  <si>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</si>
  <si>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</si>
  <si>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</si>
  <si>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</si>
  <si>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 xml:space="preserve">   Corporate IT</t>
  </si>
  <si>
    <t xml:space="preserve">   Technology (computers, monitors, palm pilots, etc.)</t>
  </si>
  <si>
    <t xml:space="preserve">   Equipment Rental (fax, copier, etc.)</t>
  </si>
  <si>
    <t xml:space="preserve">       Special Pays (Employment Agreement, Sign-on, Retention, etc.)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</si>
  <si>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</si>
  <si>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Corporate Rent (graphics, concierge, parking, mail service, cafeteria, etc.)</t>
  </si>
  <si>
    <t xml:space="preserve">   Taxes Other Than Income</t>
  </si>
  <si>
    <t xml:space="preserve">       Employee Entertainment (team building, internal offsites, etc.)</t>
  </si>
  <si>
    <t xml:space="preserve">       Market Data</t>
  </si>
  <si>
    <t xml:space="preserve">      Long Distance</t>
  </si>
  <si>
    <t xml:space="preserve">      Trading Turrets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</si>
  <si>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</si>
  <si>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</si>
  <si>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</si>
  <si>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Meals (10%)</t>
  </si>
  <si>
    <t xml:space="preserve">       Other (5%)</t>
  </si>
  <si>
    <t xml:space="preserve">       Lodging (35%)</t>
  </si>
  <si>
    <t xml:space="preserve">   Controllabe Infrastructure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</si>
  <si>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</si>
  <si>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</si>
  <si>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</si>
  <si>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</si>
  <si>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</si>
  <si>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</si>
  <si>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</si>
  <si>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</si>
  <si>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</si>
  <si>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</si>
  <si>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</si>
  <si>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</si>
  <si>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</si>
  <si>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</si>
  <si>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</si>
  <si>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</si>
  <si>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</si>
  <si>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</si>
  <si>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</si>
  <si>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</si>
  <si>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</si>
  <si>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</si>
  <si>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</si>
  <si>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</si>
  <si>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</si>
  <si>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</si>
  <si>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</si>
  <si>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</si>
  <si>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</si>
  <si>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</si>
  <si>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</si>
  <si>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</si>
  <si>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</si>
  <si>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</si>
  <si>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</si>
  <si>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</si>
  <si>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</si>
  <si>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</si>
  <si>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2002 Direct Expense Plan</t>
  </si>
  <si>
    <t xml:space="preserve">     Professional Consultants/Contractors (Temporaries)</t>
  </si>
  <si>
    <t xml:space="preserve">     Other</t>
  </si>
  <si>
    <t>Texas Trading (150297)</t>
  </si>
  <si>
    <t>Tom Martin</t>
  </si>
  <si>
    <t>VP</t>
  </si>
  <si>
    <t>VP Count</t>
  </si>
  <si>
    <t>Jim Schwieger</t>
  </si>
  <si>
    <t>Eric Bass</t>
  </si>
  <si>
    <t>Associate</t>
  </si>
  <si>
    <t>Associate Count</t>
  </si>
  <si>
    <t>Joseph Parks</t>
  </si>
  <si>
    <t>Manager Count</t>
  </si>
  <si>
    <t>Charles Weldon</t>
  </si>
  <si>
    <t>Bryan Hull</t>
  </si>
  <si>
    <t>Analyst</t>
  </si>
  <si>
    <t>Analyst Count</t>
  </si>
  <si>
    <t>Admin Count</t>
  </si>
  <si>
    <t>Laura Vuittonet</t>
  </si>
  <si>
    <t>Vacant</t>
  </si>
  <si>
    <t>2 Associates at $12,000/month, 1 Analyst at $8,700/month</t>
  </si>
  <si>
    <t>Work Place Count =  10</t>
  </si>
  <si>
    <t>Sq. Ft. Occupied =  1000</t>
  </si>
  <si>
    <t>2002 EPSC PLAN TEMPLATE</t>
  </si>
  <si>
    <t>COST CENTER:  150297 (Texas Gas Trading)</t>
  </si>
  <si>
    <t>NATURAL GAS - TEXAS GAS TRADING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</si>
  <si>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</si>
  <si>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</si>
  <si>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</si>
  <si>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</si>
  <si>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</si>
  <si>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</si>
  <si>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</si>
  <si>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</si>
  <si>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</si>
  <si>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</si>
  <si>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</si>
  <si>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</si>
  <si>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</si>
  <si>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</si>
  <si>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</si>
  <si>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</si>
  <si>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</si>
  <si>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</si>
  <si>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</si>
  <si>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</si>
  <si>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</si>
  <si>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</si>
  <si>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Texas Gas Trading (150297)</t>
  </si>
  <si>
    <t>Direct Expense Ratio</t>
  </si>
  <si>
    <t>will use 2001 plan until better info is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</si>
</sst>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0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42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3" fillId="0" borderId="0"/>
    <xf numFmtId="37" fontId="43" fillId="3" borderId="0" applyNumberFormat="0" applyBorder="0" applyAlignment="0" applyProtection="0"/>
    <xf numFmtId="3" fontId="44" fillId="0" borderId="4" applyProtection="0"/>
  </cellStyleXfs>
  <cellXfs count="361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43" fontId="16" fillId="9" borderId="0" xfId="3" applyFont="1" applyFill="1"/>
    <xf numFmtId="37" fontId="16" fillId="9" borderId="0" xfId="3" applyNumberFormat="1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166" fontId="17" fillId="9" borderId="8" xfId="3" applyNumberFormat="1" applyFont="1" applyFill="1" applyBorder="1"/>
    <xf numFmtId="3" fontId="17" fillId="0" borderId="15" xfId="3" applyNumberFormat="1" applyFont="1" applyFill="1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0" fontId="37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0" fontId="38" fillId="0" borderId="0" xfId="0" applyFont="1"/>
    <xf numFmtId="41" fontId="21" fillId="0" borderId="7" xfId="0" applyNumberFormat="1" applyFont="1" applyBorder="1"/>
    <xf numFmtId="0" fontId="38" fillId="0" borderId="0" xfId="0" quotePrefix="1" applyFont="1"/>
    <xf numFmtId="41" fontId="39" fillId="0" borderId="0" xfId="0" applyNumberFormat="1" applyFont="1"/>
    <xf numFmtId="41" fontId="6" fillId="0" borderId="0" xfId="0" applyNumberFormat="1" applyFont="1"/>
    <xf numFmtId="41" fontId="39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41" fontId="6" fillId="0" borderId="7" xfId="0" applyNumberFormat="1" applyFont="1" applyBorder="1"/>
    <xf numFmtId="41" fontId="6" fillId="0" borderId="0" xfId="0" applyNumberFormat="1" applyFont="1" applyBorder="1"/>
    <xf numFmtId="0" fontId="45" fillId="0" borderId="0" xfId="0" applyFont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39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0" fontId="0" fillId="0" borderId="0" xfId="0" applyFill="1" applyBorder="1"/>
    <xf numFmtId="41" fontId="37" fillId="0" borderId="0" xfId="0" applyNumberFormat="1" applyFont="1" applyAlignment="1">
      <alignment horizontal="left"/>
    </xf>
    <xf numFmtId="41" fontId="37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0" fontId="0" fillId="0" borderId="0" xfId="0" applyAlignment="1">
      <alignment horizontal="right"/>
    </xf>
    <xf numFmtId="166" fontId="1" fillId="0" borderId="0" xfId="3" applyNumberFormat="1" applyFill="1"/>
    <xf numFmtId="41" fontId="0" fillId="0" borderId="0" xfId="0" applyNumberFormat="1" applyAlignment="1">
      <alignment horizontal="left"/>
    </xf>
    <xf numFmtId="180" fontId="0" fillId="0" borderId="0" xfId="0" applyNumberFormat="1" applyAlignment="1">
      <alignment horizontal="right"/>
    </xf>
    <xf numFmtId="166" fontId="21" fillId="0" borderId="8" xfId="3" applyNumberFormat="1" applyFont="1" applyBorder="1"/>
    <xf numFmtId="166" fontId="21" fillId="0" borderId="15" xfId="3" applyNumberFormat="1" applyFont="1" applyBorder="1"/>
    <xf numFmtId="0" fontId="21" fillId="0" borderId="0" xfId="0" applyFont="1" applyAlignment="1">
      <alignment horizontal="right"/>
    </xf>
    <xf numFmtId="180" fontId="21" fillId="0" borderId="0" xfId="0" applyNumberFormat="1" applyFont="1" applyAlignment="1">
      <alignment horizontal="right"/>
    </xf>
    <xf numFmtId="180" fontId="0" fillId="0" borderId="0" xfId="0" applyNumberFormat="1" applyFill="1" applyAlignment="1">
      <alignment horizontal="right"/>
    </xf>
    <xf numFmtId="180" fontId="0" fillId="0" borderId="8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80" fontId="21" fillId="0" borderId="15" xfId="0" applyNumberFormat="1" applyFont="1" applyFill="1" applyBorder="1" applyAlignment="1">
      <alignment horizontal="righ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>
        <f>Assumptions!C14</f>
        <v>6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>
        <f>SUM(G27:K27)</f>
        <v>18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>
        <f>Assumptions!C22</f>
        <v>4</v>
      </c>
      <c r="H28" s="142"/>
      <c r="I28" s="163">
        <f>[3]Assumptions!$C$21</f>
        <v>2</v>
      </c>
      <c r="J28" s="177"/>
      <c r="K28" s="163">
        <f>'[4]Exp Comp'!G28</f>
        <v>2</v>
      </c>
      <c r="M28" s="104">
        <f>SUM(G28:K28)</f>
        <v>8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>
        <f>SUM(G27:G28)</f>
        <v>10</v>
      </c>
      <c r="H29" s="142"/>
      <c r="I29">
        <f>SUM(I27:I28)</f>
        <v>10</v>
      </c>
      <c r="K29" s="176">
        <f>SUM(K27:K28)</f>
        <v>6</v>
      </c>
      <c r="M29" s="95">
        <f>SUM(M27:M28)</f>
        <v>26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>
      <selection activeCell="D24" sqref="D24"/>
    </sheetView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C:\Users\Felienne\Enron\EnronSpreadsheets\[thomas_martin__39855__2002 Plan Worksheet CC150297.xls]Detail Breakdown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C:\Users\Felienne\Enron\EnronSpreadsheets\[thomas_martin__39855__2002 Plan Worksheet CC150297.xls]Detail Breakdown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29" sqref="A29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290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289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B22" sqref="B2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9" t="s">
        <v>287</v>
      </c>
      <c r="B5" s="359"/>
      <c r="D5" s="214"/>
    </row>
    <row r="6" spans="1:11">
      <c r="A6" s="359" t="s">
        <v>288</v>
      </c>
      <c r="B6" s="359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277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262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263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264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265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266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271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268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269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270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276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275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274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279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278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278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280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3"/>
  <sheetViews>
    <sheetView zoomScaleNormal="100" workbookViewId="0">
      <pane xSplit="6" ySplit="9" topLeftCell="G23" activePane="bottomRight" state="frozen"/>
      <selection pane="topRight" activeCell="G1" sqref="G1"/>
      <selection pane="bottomLeft" activeCell="A10" sqref="A10"/>
      <selection pane="bottomRight" activeCell="E10" sqref="E10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3" customWidth="1"/>
    <col min="8" max="8" width="12.42578125" style="244" bestFit="1" customWidth="1"/>
    <col min="9" max="9" width="12.42578125" style="263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59"/>
      <c r="H1" s="240"/>
      <c r="I1" s="259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59"/>
      <c r="H2" s="240"/>
      <c r="I2" s="259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59"/>
      <c r="H3" s="240"/>
      <c r="I3" s="259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59"/>
      <c r="H4" s="240"/>
      <c r="I4" s="259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0" t="s">
        <v>297</v>
      </c>
      <c r="B5" s="360"/>
      <c r="C5" s="360"/>
      <c r="D5" s="123"/>
      <c r="E5" s="123"/>
      <c r="F5" s="123"/>
      <c r="G5" s="260"/>
      <c r="H5" s="241"/>
      <c r="I5" s="260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0" t="s">
        <v>296</v>
      </c>
      <c r="B6" s="360"/>
      <c r="C6" s="124"/>
      <c r="D6" s="123"/>
      <c r="E6" s="123"/>
      <c r="F6" s="123"/>
      <c r="G6" s="260"/>
      <c r="H6" s="241"/>
      <c r="I6" s="260"/>
      <c r="J6" s="8" t="s">
        <v>281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1" t="s">
        <v>202</v>
      </c>
      <c r="H7" s="242" t="s">
        <v>202</v>
      </c>
      <c r="I7" s="261" t="s">
        <v>202</v>
      </c>
      <c r="J7" s="8" t="s">
        <v>27</v>
      </c>
      <c r="K7" s="8"/>
      <c r="L7" s="8" t="s">
        <v>28</v>
      </c>
      <c r="M7" s="242" t="s">
        <v>300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2" t="s">
        <v>295</v>
      </c>
      <c r="H8" s="243" t="s">
        <v>298</v>
      </c>
      <c r="I8" s="262" t="s">
        <v>299</v>
      </c>
      <c r="J8" s="9" t="s">
        <v>29</v>
      </c>
      <c r="K8" s="10"/>
      <c r="L8" s="11" t="s">
        <v>202</v>
      </c>
      <c r="M8" s="278" t="s">
        <v>299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4"/>
      <c r="H10" s="245"/>
      <c r="I10" s="264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3</v>
      </c>
      <c r="D13" s="107">
        <v>0</v>
      </c>
      <c r="E13" s="106"/>
      <c r="F13" s="109"/>
      <c r="G13" s="265"/>
      <c r="H13" s="247"/>
      <c r="I13" s="265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6</v>
      </c>
      <c r="D14" s="185"/>
      <c r="E14" s="106"/>
      <c r="F14" s="109"/>
      <c r="G14" s="265"/>
      <c r="H14" s="247"/>
      <c r="I14" s="265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66"/>
      <c r="H15" s="248"/>
      <c r="I15" s="266"/>
      <c r="J15" s="106"/>
      <c r="K15" s="106"/>
      <c r="L15" s="109"/>
      <c r="M15" s="247"/>
    </row>
    <row r="16" spans="1:21">
      <c r="B16" s="6" t="s">
        <v>37</v>
      </c>
      <c r="C16" s="225">
        <v>2</v>
      </c>
      <c r="D16" s="107">
        <v>0</v>
      </c>
      <c r="E16" s="106"/>
      <c r="F16" s="109"/>
      <c r="G16" s="265"/>
      <c r="H16" s="247"/>
      <c r="I16" s="265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5"/>
      <c r="H17" s="247"/>
      <c r="I17" s="265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272</v>
      </c>
      <c r="C18" s="225">
        <v>0</v>
      </c>
      <c r="D18" s="107">
        <v>0</v>
      </c>
      <c r="E18" s="106"/>
      <c r="F18" s="109"/>
      <c r="G18" s="265"/>
      <c r="H18" s="247"/>
      <c r="I18" s="265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273</v>
      </c>
      <c r="C19" s="225">
        <v>0</v>
      </c>
      <c r="D19" s="107">
        <v>0</v>
      </c>
      <c r="E19" s="106"/>
      <c r="F19" s="109"/>
      <c r="G19" s="265"/>
      <c r="H19" s="247"/>
      <c r="I19" s="265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5"/>
      <c r="H20" s="247"/>
      <c r="I20" s="265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5"/>
      <c r="H21" s="247"/>
      <c r="I21" s="265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5"/>
      <c r="H22" s="247"/>
      <c r="I22" s="265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291</v>
      </c>
      <c r="B23" s="7"/>
      <c r="C23" s="32"/>
      <c r="D23" s="112"/>
      <c r="E23" s="113"/>
      <c r="F23" s="114"/>
      <c r="G23" s="267"/>
      <c r="H23" s="249"/>
      <c r="I23" s="267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5"/>
      <c r="H24" s="250"/>
      <c r="I24" s="265"/>
    </row>
    <row r="25" spans="1:18" ht="13.5" thickBot="1">
      <c r="A25" s="106" t="s">
        <v>85</v>
      </c>
      <c r="B25" s="106"/>
      <c r="C25" s="221">
        <f>C22+C14</f>
        <v>10</v>
      </c>
      <c r="D25" s="106"/>
      <c r="E25" s="106"/>
      <c r="F25" s="227" t="s">
        <v>123</v>
      </c>
      <c r="G25" s="262"/>
      <c r="H25" s="251"/>
      <c r="I25" s="262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284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285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10</v>
      </c>
      <c r="D28" s="106"/>
      <c r="E28" s="106"/>
      <c r="F28" s="227" t="s">
        <v>283</v>
      </c>
      <c r="G28" s="262"/>
      <c r="H28" s="251"/>
      <c r="I28" s="262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292</v>
      </c>
      <c r="B30" s="113"/>
      <c r="C30" s="118"/>
      <c r="D30" s="113"/>
      <c r="E30" s="113"/>
      <c r="F30" s="113"/>
      <c r="G30" s="268"/>
      <c r="H30" s="252"/>
      <c r="I30" s="268">
        <v>800760</v>
      </c>
      <c r="J30" s="21"/>
      <c r="K30" s="21"/>
      <c r="L30" s="21">
        <f>SUM(L25:L29)</f>
        <v>0</v>
      </c>
      <c r="M30" s="279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80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80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3">
        <v>55000</v>
      </c>
      <c r="J36" s="234">
        <v>0</v>
      </c>
      <c r="K36" s="17"/>
      <c r="L36" s="229">
        <v>0</v>
      </c>
      <c r="M36" s="280"/>
      <c r="O36" s="28">
        <v>131000</v>
      </c>
      <c r="R36" s="6">
        <v>790000</v>
      </c>
      <c r="U36" s="126" t="s">
        <v>282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80"/>
    </row>
    <row r="38" spans="1:21">
      <c r="B38" s="6" t="s">
        <v>44</v>
      </c>
      <c r="C38" s="18"/>
      <c r="I38" s="269"/>
      <c r="J38" s="231">
        <v>0</v>
      </c>
      <c r="K38" s="17"/>
      <c r="L38" s="231">
        <v>0</v>
      </c>
      <c r="M38" s="280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293</v>
      </c>
      <c r="C40" s="33"/>
      <c r="G40" s="268">
        <v>310811</v>
      </c>
      <c r="H40" s="253">
        <f>(G40/7)*12</f>
        <v>532818.85714285716</v>
      </c>
      <c r="I40" s="268">
        <f>SUM(I30:I38)</f>
        <v>855760</v>
      </c>
      <c r="J40" s="114">
        <f>+L40/12</f>
        <v>0</v>
      </c>
      <c r="K40" s="21"/>
      <c r="L40" s="21">
        <f>L39+L30</f>
        <v>0</v>
      </c>
      <c r="M40" s="279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3">
        <v>42995</v>
      </c>
      <c r="H43" s="253">
        <f>(G43/7)*12</f>
        <v>73705.71428571429</v>
      </c>
      <c r="I43" s="268">
        <v>112758</v>
      </c>
      <c r="J43" s="6">
        <f>+L43/12</f>
        <v>0</v>
      </c>
      <c r="L43" s="229">
        <v>0</v>
      </c>
      <c r="M43" s="280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3">
        <f>4437.9+112+156.9</f>
        <v>4706.7999999999993</v>
      </c>
      <c r="H46" s="253">
        <f>(G46/7)*12</f>
        <v>8068.7999999999984</v>
      </c>
      <c r="I46" s="268">
        <v>54453</v>
      </c>
      <c r="J46" s="17">
        <f>+L46/12</f>
        <v>0</v>
      </c>
      <c r="L46" s="229">
        <v>0</v>
      </c>
      <c r="M46" s="280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3">
        <v>1124</v>
      </c>
      <c r="H49" s="253">
        <f t="shared" ref="H49:H56" si="2">(G49/7)*12</f>
        <v>1926.8571428571431</v>
      </c>
      <c r="I49" s="268">
        <v>5112</v>
      </c>
      <c r="J49" s="6" t="e">
        <f>'Cost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3">
        <v>0</v>
      </c>
      <c r="H50" s="253">
        <f t="shared" si="2"/>
        <v>0</v>
      </c>
      <c r="I50" s="268">
        <v>0</v>
      </c>
      <c r="J50" s="6" t="e">
        <f>'Cost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3">
        <v>19870</v>
      </c>
      <c r="H51" s="253">
        <f t="shared" si="2"/>
        <v>34062.857142857145</v>
      </c>
      <c r="I51" s="268">
        <v>13308</v>
      </c>
      <c r="J51" s="6" t="e">
        <f>'Cost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3">
        <v>0</v>
      </c>
      <c r="H52" s="253">
        <f t="shared" si="2"/>
        <v>0</v>
      </c>
      <c r="I52" s="268">
        <v>0</v>
      </c>
      <c r="J52" s="106" t="e">
        <f>'Cost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3">
        <v>4390</v>
      </c>
      <c r="H53" s="253">
        <f t="shared" si="2"/>
        <v>7525.7142857142853</v>
      </c>
      <c r="I53" s="268">
        <v>6708</v>
      </c>
      <c r="J53" s="106" t="e">
        <f>'Cost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277</v>
      </c>
      <c r="G54" s="263">
        <v>10</v>
      </c>
      <c r="H54" s="244">
        <f t="shared" si="2"/>
        <v>17.142857142857142</v>
      </c>
      <c r="I54" s="263">
        <v>0</v>
      </c>
      <c r="J54" s="106" t="e">
        <f>'Cost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3">
        <v>0</v>
      </c>
      <c r="H55" s="244">
        <f t="shared" si="2"/>
        <v>0</v>
      </c>
      <c r="I55" s="263">
        <v>0</v>
      </c>
      <c r="J55" s="106" t="e">
        <f>'Cost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69">
        <v>0</v>
      </c>
      <c r="H56" s="256">
        <f t="shared" si="2"/>
        <v>0</v>
      </c>
      <c r="I56" s="269">
        <v>54012</v>
      </c>
      <c r="J56" s="16" t="e">
        <f>'Cost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0">
        <f>SUM(G49:G56)</f>
        <v>25394</v>
      </c>
      <c r="H57" s="6">
        <f>SUM(H49:H56)</f>
        <v>43532.571428571428</v>
      </c>
      <c r="I57" s="263">
        <f>SUM(I49:I56)</f>
        <v>79140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3">
        <v>54484</v>
      </c>
      <c r="H65" s="253">
        <f>(G65/7)*12</f>
        <v>93401.142857142855</v>
      </c>
      <c r="I65" s="268">
        <v>20088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3">
        <v>6445</v>
      </c>
      <c r="H66" s="253">
        <f>(G66/7)*12</f>
        <v>11048.571428571428</v>
      </c>
      <c r="I66" s="268">
        <v>50004</v>
      </c>
      <c r="J66" s="6" t="e">
        <f>$C$14*'Cost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69">
        <v>0</v>
      </c>
      <c r="H67" s="256">
        <v>0</v>
      </c>
      <c r="I67" s="269">
        <v>0</v>
      </c>
      <c r="J67" s="16" t="e">
        <f>$C$14*'Cost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0">
        <f>SUM(G65:G67)</f>
        <v>60929</v>
      </c>
      <c r="H68" s="6">
        <f>SUM(H65:H67)</f>
        <v>104449.71428571429</v>
      </c>
      <c r="I68" s="263">
        <f>SUM(I65:I67)</f>
        <v>70092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257</v>
      </c>
      <c r="G71" s="263">
        <v>0</v>
      </c>
      <c r="H71" s="253">
        <f>(G71/7)*12</f>
        <v>0</v>
      </c>
      <c r="I71" s="268">
        <v>0</v>
      </c>
      <c r="J71" s="6" t="e">
        <f>$C$14*'Cost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69">
        <v>0</v>
      </c>
      <c r="H72" s="257">
        <f>(G72/7)*12</f>
        <v>0</v>
      </c>
      <c r="I72" s="276">
        <v>0</v>
      </c>
      <c r="J72" s="16" t="e">
        <f>$C$14*'Cost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1">
        <f>SUM(G71:G72)</f>
        <v>0</v>
      </c>
      <c r="H73" s="239">
        <f>SUM(H71:H72)</f>
        <v>0</v>
      </c>
      <c r="I73" s="263">
        <f>SUM(I71:I72)</f>
        <v>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3">
        <v>0</v>
      </c>
      <c r="H76" s="253">
        <f t="shared" ref="H76:H84" si="3">(G76/7)*12</f>
        <v>0</v>
      </c>
      <c r="I76" s="268">
        <v>100000</v>
      </c>
      <c r="J76" s="6" t="e">
        <f>$C$14*'Cost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3">
        <v>0</v>
      </c>
      <c r="H77" s="253">
        <f t="shared" si="3"/>
        <v>0</v>
      </c>
      <c r="I77" s="268">
        <v>0</v>
      </c>
      <c r="J77" s="6" t="e">
        <f>$C$14*'Cost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3">
        <v>0</v>
      </c>
      <c r="H78" s="253">
        <f t="shared" si="3"/>
        <v>0</v>
      </c>
      <c r="I78" s="268">
        <v>2000</v>
      </c>
      <c r="J78" s="6" t="e">
        <f>$C$14*'Cost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3">
        <v>0</v>
      </c>
      <c r="H79" s="253">
        <f t="shared" si="3"/>
        <v>0</v>
      </c>
      <c r="I79" s="268">
        <v>0</v>
      </c>
      <c r="J79" s="6" t="e">
        <f>$C$14*'Cost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3">
        <v>0</v>
      </c>
      <c r="H80" s="253">
        <f t="shared" si="3"/>
        <v>0</v>
      </c>
      <c r="I80" s="268">
        <v>0</v>
      </c>
      <c r="J80" s="6" t="e">
        <f>$C$14*'Cost rates'!F41</f>
        <v>#DIV/0!</v>
      </c>
      <c r="K80" s="28"/>
      <c r="L80" s="6" t="e">
        <f t="shared" si="4"/>
        <v>#DIV/0!</v>
      </c>
      <c r="R80" s="28"/>
    </row>
    <row r="81" spans="1:18">
      <c r="B81" s="19" t="s">
        <v>227</v>
      </c>
      <c r="G81" s="263">
        <v>0</v>
      </c>
      <c r="H81" s="253">
        <f t="shared" si="3"/>
        <v>0</v>
      </c>
      <c r="I81" s="268">
        <v>0</v>
      </c>
      <c r="J81" s="6" t="e">
        <f>$C$14*'Cost rates'!F42</f>
        <v>#DIV/0!</v>
      </c>
      <c r="K81" s="28"/>
      <c r="L81" s="6" t="e">
        <f t="shared" si="4"/>
        <v>#DIV/0!</v>
      </c>
      <c r="R81" s="28"/>
    </row>
    <row r="82" spans="1:18">
      <c r="B82" s="19" t="s">
        <v>228</v>
      </c>
      <c r="G82" s="263">
        <v>0</v>
      </c>
      <c r="H82" s="253">
        <f t="shared" si="3"/>
        <v>0</v>
      </c>
      <c r="I82" s="268">
        <v>0</v>
      </c>
      <c r="J82" s="6" t="e">
        <f>$C$14*'Cost rates'!F43</f>
        <v>#DIV/0!</v>
      </c>
      <c r="K82" s="28"/>
      <c r="L82" s="6" t="e">
        <f t="shared" si="4"/>
        <v>#DIV/0!</v>
      </c>
      <c r="R82" s="28"/>
    </row>
    <row r="83" spans="1:18">
      <c r="B83" s="19" t="s">
        <v>229</v>
      </c>
      <c r="G83" s="263">
        <v>0</v>
      </c>
      <c r="H83" s="253">
        <f t="shared" si="3"/>
        <v>0</v>
      </c>
      <c r="I83" s="268">
        <v>0</v>
      </c>
      <c r="J83" s="6" t="e">
        <f>$C$14*'Cost rates'!F44</f>
        <v>#DIV/0!</v>
      </c>
      <c r="K83" s="28"/>
      <c r="L83" s="6" t="e">
        <f t="shared" si="4"/>
        <v>#DIV/0!</v>
      </c>
      <c r="R83" s="28"/>
    </row>
    <row r="84" spans="1:18">
      <c r="B84" s="19" t="s">
        <v>230</v>
      </c>
      <c r="G84" s="269">
        <v>0</v>
      </c>
      <c r="H84" s="257">
        <f t="shared" si="3"/>
        <v>0</v>
      </c>
      <c r="I84" s="276">
        <v>0</v>
      </c>
      <c r="J84" s="16" t="e">
        <f>$C$14*'Cost rates'!F45</f>
        <v>#DIV/0!</v>
      </c>
      <c r="K84" s="28"/>
      <c r="L84" s="16" t="e">
        <f t="shared" si="4"/>
        <v>#DIV/0!</v>
      </c>
      <c r="M84" s="256"/>
      <c r="R84" s="28"/>
    </row>
    <row r="85" spans="1:18">
      <c r="A85" s="6" t="s">
        <v>56</v>
      </c>
      <c r="G85" s="271">
        <f>SUM(G76:G84)</f>
        <v>0</v>
      </c>
      <c r="H85" s="239">
        <f>SUM(H76:H84)</f>
        <v>0</v>
      </c>
      <c r="I85" s="263">
        <f>SUM(I76:I84)</f>
        <v>102000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18">
      <c r="R86" s="28"/>
    </row>
    <row r="87" spans="1:18">
      <c r="A87" s="7" t="s">
        <v>168</v>
      </c>
      <c r="R87" s="28"/>
    </row>
    <row r="88" spans="1:18">
      <c r="B88" s="19" t="s">
        <v>57</v>
      </c>
      <c r="G88" s="263">
        <v>48</v>
      </c>
      <c r="H88" s="253">
        <f>(G88/7)*12</f>
        <v>82.285714285714278</v>
      </c>
      <c r="I88" s="268">
        <v>0</v>
      </c>
      <c r="J88" s="106" t="e">
        <f>$C$25*'Cost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</row>
    <row r="89" spans="1:18">
      <c r="B89" s="19" t="s">
        <v>232</v>
      </c>
      <c r="G89" s="263">
        <v>0</v>
      </c>
      <c r="H89" s="253">
        <f>(G89/7)*12</f>
        <v>0</v>
      </c>
      <c r="I89" s="268">
        <v>0</v>
      </c>
      <c r="J89" s="106" t="e">
        <f>$C$25*'Cost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18">
      <c r="B90" s="19" t="s">
        <v>231</v>
      </c>
      <c r="G90" s="269">
        <v>2165</v>
      </c>
      <c r="H90" s="257">
        <f>(G90/7)*12</f>
        <v>3711.4285714285716</v>
      </c>
      <c r="I90" s="276">
        <v>9000</v>
      </c>
      <c r="J90" s="110" t="e">
        <f>$C$25*'Cost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18">
      <c r="A91" s="6" t="s">
        <v>58</v>
      </c>
      <c r="G91" s="270">
        <f>SUM(G88:G90)</f>
        <v>2213</v>
      </c>
      <c r="H91" s="244">
        <f>SUM(H88:H90)</f>
        <v>3793.7142857142858</v>
      </c>
      <c r="I91" s="263">
        <f>SUM(I88:I90)</f>
        <v>9000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18">
      <c r="R92" s="28"/>
    </row>
    <row r="93" spans="1:18">
      <c r="A93" s="7" t="s">
        <v>167</v>
      </c>
      <c r="R93" s="28"/>
    </row>
    <row r="94" spans="1:18">
      <c r="B94" s="6" t="s">
        <v>59</v>
      </c>
      <c r="G94" s="269">
        <v>0</v>
      </c>
      <c r="H94" s="257">
        <f>(G94/7)*12</f>
        <v>0</v>
      </c>
      <c r="I94" s="276">
        <v>0</v>
      </c>
      <c r="J94" s="16" t="e">
        <f>$C$14*'Cost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18">
      <c r="A95" s="6" t="s">
        <v>61</v>
      </c>
      <c r="G95" s="271">
        <f>SUM(G94:G94)</f>
        <v>0</v>
      </c>
      <c r="H95" s="239">
        <f>SUM(H94:H94)</f>
        <v>0</v>
      </c>
      <c r="I95" s="263">
        <f>SUM(I94:I94)</f>
        <v>0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18">
      <c r="R96" s="28"/>
    </row>
    <row r="97" spans="1:21">
      <c r="A97" s="7" t="s">
        <v>62</v>
      </c>
      <c r="R97" s="28"/>
    </row>
    <row r="98" spans="1:21">
      <c r="B98" s="6" t="s">
        <v>84</v>
      </c>
      <c r="G98" s="269">
        <v>500</v>
      </c>
      <c r="H98" s="256">
        <v>500</v>
      </c>
      <c r="I98" s="269">
        <v>0</v>
      </c>
      <c r="J98" s="230">
        <v>0</v>
      </c>
      <c r="L98" s="231">
        <v>0</v>
      </c>
      <c r="M98" s="281"/>
      <c r="O98" s="131">
        <v>17614</v>
      </c>
      <c r="P98" s="131">
        <f>+L98-O98</f>
        <v>-17614</v>
      </c>
      <c r="Q98" s="125"/>
      <c r="R98" s="131">
        <v>0</v>
      </c>
      <c r="U98" s="6" t="s">
        <v>286</v>
      </c>
    </row>
    <row r="99" spans="1:21">
      <c r="A99" s="6" t="s">
        <v>63</v>
      </c>
      <c r="G99" s="270">
        <f>SUM(G98)</f>
        <v>500</v>
      </c>
      <c r="H99" s="6">
        <f>SUM(H98)</f>
        <v>500</v>
      </c>
      <c r="I99" s="263">
        <f>SUM(I98)</f>
        <v>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3">
        <v>0</v>
      </c>
      <c r="H102" s="253">
        <f>(G102/7)*12</f>
        <v>0</v>
      </c>
      <c r="I102" s="268">
        <v>0</v>
      </c>
      <c r="J102" s="6">
        <f>+'Cost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258</v>
      </c>
      <c r="G103" s="269">
        <v>0</v>
      </c>
      <c r="H103" s="257">
        <f>(G103/7)*12</f>
        <v>0</v>
      </c>
      <c r="I103" s="276">
        <v>0</v>
      </c>
      <c r="J103" s="16">
        <f>+'Cost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1">
        <f>SUM(G102:G103)</f>
        <v>0</v>
      </c>
      <c r="H104" s="239">
        <f>SUM(H102:H103)</f>
        <v>0</v>
      </c>
      <c r="I104" s="263">
        <f>SUM(I102:I103)</f>
        <v>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259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260</v>
      </c>
      <c r="G107" s="269">
        <v>8737</v>
      </c>
      <c r="H107" s="257">
        <f>(G107/7)*12</f>
        <v>14977.714285714286</v>
      </c>
      <c r="I107" s="276">
        <v>17580</v>
      </c>
      <c r="J107" s="192" t="e">
        <f>'Cost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261</v>
      </c>
      <c r="G108" s="270">
        <f>SUM(G107)</f>
        <v>8737</v>
      </c>
      <c r="H108" s="244">
        <f>SUM(H107)</f>
        <v>14977.714285714286</v>
      </c>
      <c r="I108" s="263">
        <f>SUM(I107)</f>
        <v>17580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59</v>
      </c>
      <c r="G110" s="263">
        <v>0</v>
      </c>
      <c r="H110" s="244">
        <v>0</v>
      </c>
      <c r="I110" s="263">
        <v>0</v>
      </c>
      <c r="J110" s="120"/>
      <c r="K110" s="120"/>
      <c r="L110" s="120"/>
      <c r="M110" s="244">
        <v>0</v>
      </c>
      <c r="N110" s="120"/>
      <c r="O110" s="122"/>
      <c r="P110" s="122"/>
      <c r="R110" s="122"/>
    </row>
    <row r="111" spans="1:21">
      <c r="A111" s="7"/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22</v>
      </c>
      <c r="G112" s="263">
        <v>0</v>
      </c>
      <c r="H112" s="253">
        <f>(G112/7)*12</f>
        <v>0</v>
      </c>
      <c r="I112" s="268">
        <v>0</v>
      </c>
      <c r="J112" s="6" t="e">
        <f>$C$25*'Cost rates'!H63</f>
        <v>#DIV/0!</v>
      </c>
      <c r="K112" s="120"/>
      <c r="L112" s="17" t="e">
        <f>J112*12</f>
        <v>#DIV/0!</v>
      </c>
      <c r="M112" s="250"/>
      <c r="N112" s="120"/>
      <c r="O112" s="134">
        <v>0</v>
      </c>
      <c r="P112" s="134" t="e">
        <f>+L112-O112</f>
        <v>#DIV/0!</v>
      </c>
      <c r="R112" s="134">
        <v>0</v>
      </c>
    </row>
    <row r="113" spans="1:21">
      <c r="J113" s="120"/>
      <c r="K113" s="120"/>
      <c r="L113" s="120"/>
      <c r="N113" s="120"/>
      <c r="O113" s="122"/>
      <c r="P113" s="122"/>
      <c r="R113" s="122"/>
    </row>
    <row r="114" spans="1:21">
      <c r="A114" s="7" t="s">
        <v>173</v>
      </c>
      <c r="G114" s="263">
        <v>11897</v>
      </c>
      <c r="H114" s="253">
        <f>(G114/7)*12</f>
        <v>20394.857142857145</v>
      </c>
      <c r="I114" s="268">
        <v>86000</v>
      </c>
      <c r="J114" s="6" t="e">
        <f>$C$25*'Cost rates'!H67</f>
        <v>#DIV/0!</v>
      </c>
      <c r="K114" s="120"/>
      <c r="L114" s="17" t="e">
        <f>J114*12</f>
        <v>#DIV/0!</v>
      </c>
      <c r="M114" s="250"/>
      <c r="N114" s="120"/>
      <c r="O114" s="122">
        <f>71114+125628</f>
        <v>196742</v>
      </c>
      <c r="P114" s="134" t="e">
        <f>+L114-O114</f>
        <v>#DIV/0!</v>
      </c>
      <c r="R114" s="122">
        <v>249410</v>
      </c>
    </row>
    <row r="115" spans="1:21">
      <c r="B115" s="6" t="s">
        <v>294</v>
      </c>
      <c r="K115" s="120"/>
      <c r="L115" s="120"/>
      <c r="N115" s="120"/>
      <c r="O115" s="122"/>
      <c r="P115" s="122"/>
      <c r="R115" s="122"/>
    </row>
    <row r="116" spans="1:21">
      <c r="A116" s="7" t="s">
        <v>174</v>
      </c>
      <c r="G116" s="263">
        <v>16887</v>
      </c>
      <c r="H116" s="253">
        <f>(G116/7)*12</f>
        <v>28949.142857142859</v>
      </c>
      <c r="I116" s="268">
        <v>59472</v>
      </c>
      <c r="J116" s="6" t="e">
        <f>$C$25*'Cost rates'!H71</f>
        <v>#DIV/0!</v>
      </c>
      <c r="K116" s="120"/>
      <c r="L116" s="17" t="e">
        <f>J116*12</f>
        <v>#DIV/0!</v>
      </c>
      <c r="M116" s="250"/>
      <c r="N116" s="120"/>
      <c r="O116" s="122">
        <f>126342+208338</f>
        <v>334680</v>
      </c>
      <c r="P116" s="134" t="e">
        <f>+L116-O116</f>
        <v>#DIV/0!</v>
      </c>
      <c r="R116" s="122">
        <v>408678</v>
      </c>
    </row>
    <row r="117" spans="1:21">
      <c r="A117" s="7"/>
      <c r="B117" s="6" t="s">
        <v>176</v>
      </c>
      <c r="K117" s="120"/>
      <c r="L117" s="120"/>
      <c r="N117" s="120"/>
      <c r="O117" s="122"/>
      <c r="P117" s="122"/>
      <c r="R117" s="122"/>
    </row>
    <row r="118" spans="1:21">
      <c r="B118" s="6" t="s">
        <v>177</v>
      </c>
      <c r="K118" s="120"/>
      <c r="L118" s="120"/>
      <c r="N118" s="120"/>
      <c r="O118" s="122"/>
      <c r="P118" s="122"/>
      <c r="R118" s="122"/>
    </row>
    <row r="119" spans="1:21">
      <c r="A119" s="7" t="s">
        <v>23</v>
      </c>
      <c r="J119" s="120"/>
      <c r="K119" s="120"/>
      <c r="L119" s="120"/>
      <c r="N119" s="120"/>
      <c r="O119" s="122">
        <f>25011+78348</f>
        <v>103359</v>
      </c>
      <c r="P119" s="134">
        <f>+L119-O119</f>
        <v>-103359</v>
      </c>
      <c r="R119" s="122">
        <v>140348</v>
      </c>
    </row>
    <row r="120" spans="1:21">
      <c r="A120" s="7"/>
      <c r="B120" s="6" t="s">
        <v>267</v>
      </c>
      <c r="G120" s="263">
        <f>20854+6921</f>
        <v>27775</v>
      </c>
      <c r="H120" s="253">
        <f>(G120/7)*12</f>
        <v>47614.28571428571</v>
      </c>
      <c r="I120" s="268">
        <v>42876</v>
      </c>
      <c r="J120" s="238">
        <v>0</v>
      </c>
      <c r="K120" s="191"/>
      <c r="L120" s="238">
        <f>+J120*12</f>
        <v>0</v>
      </c>
      <c r="M120" s="255">
        <f>((12000*12)*2)+(7800*12)</f>
        <v>381600</v>
      </c>
      <c r="N120" s="191"/>
      <c r="O120" s="122"/>
      <c r="P120" s="122"/>
      <c r="R120" s="122"/>
      <c r="U120" s="6" t="s">
        <v>305</v>
      </c>
    </row>
    <row r="121" spans="1:21">
      <c r="A121" s="7"/>
      <c r="B121" s="6" t="s">
        <v>268</v>
      </c>
      <c r="G121" s="263">
        <v>0</v>
      </c>
      <c r="H121" s="253">
        <f>(G121/7)*12</f>
        <v>0</v>
      </c>
      <c r="I121" s="268">
        <v>0</v>
      </c>
      <c r="J121" s="191" t="e">
        <f>+C14*'Cost rates'!F75</f>
        <v>#DIV/0!</v>
      </c>
      <c r="K121" s="191"/>
      <c r="L121" s="191" t="e">
        <f>+J121*12</f>
        <v>#DIV/0!</v>
      </c>
      <c r="N121" s="191"/>
      <c r="O121" s="122"/>
      <c r="P121" s="122"/>
      <c r="R121" s="122"/>
    </row>
    <row r="122" spans="1:21">
      <c r="A122" s="7"/>
      <c r="B122" s="6" t="s">
        <v>23</v>
      </c>
      <c r="G122" s="263">
        <v>1065</v>
      </c>
      <c r="H122" s="253">
        <f>(G122/7)*12</f>
        <v>1825.7142857142858</v>
      </c>
      <c r="I122" s="268">
        <v>0</v>
      </c>
      <c r="J122" s="191" t="e">
        <f>+C25*'Cost rates'!H76</f>
        <v>#DIV/0!</v>
      </c>
      <c r="K122" s="191"/>
      <c r="L122" s="191" t="e">
        <f>+J122*12</f>
        <v>#DIV/0!</v>
      </c>
      <c r="N122" s="191"/>
      <c r="O122" s="122"/>
      <c r="P122" s="122"/>
      <c r="R122" s="122"/>
    </row>
    <row r="123" spans="1:21">
      <c r="A123" s="7"/>
      <c r="B123" s="6" t="s">
        <v>269</v>
      </c>
      <c r="G123" s="269">
        <v>0</v>
      </c>
      <c r="H123" s="257">
        <f>(G123/7)*12</f>
        <v>0</v>
      </c>
      <c r="I123" s="276">
        <v>0</v>
      </c>
      <c r="J123" s="192" t="e">
        <f>+C25*'Cost rates'!H77</f>
        <v>#DIV/0!</v>
      </c>
      <c r="K123" s="191"/>
      <c r="L123" s="192" t="e">
        <f>+J123*12</f>
        <v>#DIV/0!</v>
      </c>
      <c r="M123" s="256"/>
      <c r="N123" s="191"/>
      <c r="O123" s="122"/>
      <c r="P123" s="122"/>
      <c r="R123" s="122"/>
    </row>
    <row r="124" spans="1:21">
      <c r="A124" s="6" t="s">
        <v>270</v>
      </c>
      <c r="G124" s="272">
        <f>SUM(G120:G123)</f>
        <v>28840</v>
      </c>
      <c r="H124" s="191">
        <f>SUM(H120:H123)</f>
        <v>49439.999999999993</v>
      </c>
      <c r="I124" s="263">
        <f>SUM(I120:I123)</f>
        <v>42876</v>
      </c>
      <c r="J124" s="191" t="e">
        <f>SUM(J120:J123)</f>
        <v>#DIV/0!</v>
      </c>
      <c r="K124" s="191"/>
      <c r="L124" s="191" t="e">
        <f>SUM(L120:L123)</f>
        <v>#DIV/0!</v>
      </c>
      <c r="M124" s="244">
        <f>SUM(M120:M123)</f>
        <v>381600</v>
      </c>
      <c r="N124" s="191"/>
      <c r="O124" s="122"/>
      <c r="P124" s="122"/>
      <c r="R124" s="122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 s="7" customFormat="1">
      <c r="A126" s="7" t="s">
        <v>278</v>
      </c>
      <c r="G126" s="268">
        <v>227</v>
      </c>
      <c r="H126" s="253">
        <f>(G126/7)*12</f>
        <v>389.14285714285717</v>
      </c>
      <c r="I126" s="268">
        <v>0</v>
      </c>
      <c r="J126" s="191" t="e">
        <f>+C25*'Cost rates'!H86</f>
        <v>#DIV/0!</v>
      </c>
      <c r="K126" s="223"/>
      <c r="L126" s="191" t="e">
        <f>+J126*12</f>
        <v>#DIV/0!</v>
      </c>
      <c r="M126" s="244">
        <v>0</v>
      </c>
      <c r="N126" s="223"/>
      <c r="O126" s="224"/>
      <c r="P126" s="224"/>
      <c r="R126" s="224"/>
    </row>
    <row r="127" spans="1:21">
      <c r="J127" s="120"/>
      <c r="K127" s="120"/>
      <c r="L127" s="120"/>
      <c r="N127" s="120"/>
      <c r="O127" s="122"/>
      <c r="P127" s="122"/>
      <c r="R127" s="122"/>
    </row>
    <row r="128" spans="1:21">
      <c r="A128" s="7" t="s">
        <v>65</v>
      </c>
      <c r="G128" s="263">
        <v>0</v>
      </c>
      <c r="H128" s="253">
        <f>(G128/7)*12</f>
        <v>0</v>
      </c>
      <c r="I128" s="268">
        <v>0</v>
      </c>
      <c r="J128" s="194">
        <v>0</v>
      </c>
      <c r="K128" s="194"/>
      <c r="L128" s="194">
        <f>J128*12</f>
        <v>0</v>
      </c>
      <c r="M128" s="244">
        <v>0</v>
      </c>
      <c r="N128" s="194"/>
      <c r="O128" s="134">
        <v>0</v>
      </c>
      <c r="P128" s="134">
        <f>+L128-O128</f>
        <v>0</v>
      </c>
      <c r="R128" s="134">
        <v>0</v>
      </c>
    </row>
    <row r="129" spans="1:21">
      <c r="J129" s="194"/>
      <c r="K129" s="195"/>
      <c r="L129" s="194"/>
      <c r="N129" s="194"/>
      <c r="O129" s="134"/>
      <c r="P129" s="134"/>
      <c r="R129" s="134"/>
    </row>
    <row r="130" spans="1:21">
      <c r="A130" s="7" t="s">
        <v>66</v>
      </c>
      <c r="G130" s="263">
        <v>0</v>
      </c>
      <c r="H130" s="253">
        <f>(G130/7)*12</f>
        <v>0</v>
      </c>
      <c r="I130" s="268">
        <v>0</v>
      </c>
      <c r="J130" s="194">
        <v>0</v>
      </c>
      <c r="K130" s="194"/>
      <c r="L130" s="194">
        <f>+J130*12</f>
        <v>0</v>
      </c>
      <c r="M130" s="244">
        <v>0</v>
      </c>
      <c r="N130" s="194"/>
      <c r="O130" s="134">
        <v>540000</v>
      </c>
      <c r="P130" s="134">
        <f>+L130-O130</f>
        <v>-540000</v>
      </c>
      <c r="R130" s="134">
        <v>434772</v>
      </c>
    </row>
    <row r="131" spans="1:21" s="17" customFormat="1">
      <c r="A131" s="21"/>
      <c r="G131" s="265"/>
      <c r="H131" s="250"/>
      <c r="I131" s="265"/>
      <c r="J131" s="232"/>
      <c r="K131" s="232"/>
      <c r="L131" s="232"/>
      <c r="M131" s="250"/>
      <c r="N131" s="232"/>
      <c r="O131" s="233"/>
      <c r="P131" s="233"/>
      <c r="R131" s="233"/>
    </row>
    <row r="132" spans="1:21">
      <c r="J132" s="194"/>
      <c r="K132" s="194"/>
      <c r="L132" s="194"/>
      <c r="N132" s="194"/>
      <c r="O132" s="122"/>
      <c r="P132" s="122"/>
      <c r="R132" s="122"/>
    </row>
    <row r="133" spans="1:21" ht="13.5" thickBot="1">
      <c r="A133" s="7" t="s">
        <v>67</v>
      </c>
      <c r="G133" s="273">
        <f>+G130+G128+G124+G116+G114+G112+G110+G108+G104+G99+G95+G91+G85+G73+G68+G57+G46+G43+G40+G126</f>
        <v>514136.8</v>
      </c>
      <c r="H133" s="277">
        <f>+H130+H128+H124+H116+H114+H112+H110+H108+H104+H99+H95+H91+H85+H73+H68+H57+H46+H43+H40+H126</f>
        <v>881020.22857142857</v>
      </c>
      <c r="I133" s="273">
        <f>+I130+I128+I124+I116+I114+I112+I110+I108+I104+I99+I95+I91+I85+I73+I68+I57+I46+I43+I40+I126</f>
        <v>1489131</v>
      </c>
      <c r="J133" s="196" t="e">
        <f>+J130+J128+J124+J116+J114+J112+J108+J104+J99+J95+J91+J85+J73+J68+J57+J46+J43+J40+J126</f>
        <v>#DIV/0!</v>
      </c>
      <c r="K133" s="194"/>
      <c r="L133" s="196" t="e">
        <f>+L130+L128+L124+L116+L114+L112+L108+L104+L99+L95+L91+L85+L73+L68+L57+L46+L43+L40+L126</f>
        <v>#DIV/0!</v>
      </c>
      <c r="M133" s="277">
        <f>+M130+M128+M124+M116+M114+M112+M110+M108+M104+M99+M95+M91+M85+M73+M68+M57+M46+M43+M40+M126</f>
        <v>381600</v>
      </c>
      <c r="N133" s="194"/>
      <c r="O133" s="135" t="e">
        <f>O40+O43+O46+O57+O73+O85+O91+O95+O99+O104+O106+O112+O114+O116+O119+O128+#REF!</f>
        <v>#REF!</v>
      </c>
      <c r="P133" s="135" t="e">
        <f>P40+P43+P46+P57+P73+P85+P91+P95+P99+P104+P106+P112+P114+P116+P119+P128+#REF!</f>
        <v>#DIV/0!</v>
      </c>
      <c r="R133" s="135" t="e">
        <f>R40+R43+R46+R57+R73+R85+R91+R95+R99+R104+R106+R112+R114+R116+R119+R128+#REF!</f>
        <v>#REF!</v>
      </c>
    </row>
    <row r="134" spans="1:21" ht="13.5" thickTop="1">
      <c r="J134" s="194"/>
      <c r="K134" s="194"/>
      <c r="L134" s="194"/>
      <c r="N134" s="194"/>
      <c r="O134" s="122"/>
      <c r="P134" s="122"/>
    </row>
    <row r="135" spans="1:21">
      <c r="J135" s="120"/>
      <c r="K135" s="120"/>
      <c r="L135" s="120"/>
      <c r="N135" s="120"/>
      <c r="O135" s="122"/>
      <c r="P135" s="122"/>
    </row>
    <row r="136" spans="1:21">
      <c r="J136" s="120"/>
      <c r="K136" s="120"/>
      <c r="L136" s="120"/>
      <c r="N136" s="120"/>
      <c r="O136" s="122"/>
      <c r="P136" s="122"/>
      <c r="U136" s="17"/>
    </row>
    <row r="137" spans="1:21">
      <c r="A137" s="136"/>
      <c r="B137" s="28"/>
      <c r="C137" s="28"/>
      <c r="D137" s="28"/>
      <c r="E137" s="28"/>
      <c r="F137" s="28"/>
      <c r="G137" s="274"/>
      <c r="H137" s="254"/>
      <c r="I137" s="274"/>
      <c r="J137" s="122"/>
      <c r="K137" s="122"/>
      <c r="L137" s="122"/>
      <c r="M137" s="254"/>
      <c r="N137" s="122"/>
      <c r="O137" s="122"/>
      <c r="P137" s="122"/>
      <c r="Q137" s="28"/>
      <c r="R137" s="28"/>
      <c r="S137" s="28"/>
    </row>
    <row r="138" spans="1:21">
      <c r="A138" s="28"/>
      <c r="B138" s="28"/>
      <c r="C138" s="28"/>
      <c r="D138" s="28"/>
      <c r="E138" s="28"/>
      <c r="F138" s="28"/>
      <c r="G138" s="274"/>
      <c r="H138" s="254"/>
      <c r="I138" s="274"/>
      <c r="J138" s="122"/>
      <c r="K138" s="122"/>
      <c r="L138" s="122"/>
      <c r="M138" s="254"/>
      <c r="N138" s="122"/>
      <c r="O138" s="122"/>
      <c r="P138" s="122"/>
      <c r="Q138" s="28"/>
      <c r="R138" s="28"/>
      <c r="S138" s="28"/>
    </row>
    <row r="139" spans="1:21">
      <c r="A139" s="119"/>
      <c r="J139" s="120"/>
      <c r="K139" s="120"/>
      <c r="L139" s="120"/>
      <c r="N139" s="120"/>
      <c r="O139" s="122"/>
      <c r="P139" s="122"/>
    </row>
    <row r="140" spans="1:21">
      <c r="A140" s="126"/>
      <c r="B140" s="126"/>
      <c r="C140" s="126"/>
      <c r="D140" s="126"/>
      <c r="E140" s="126"/>
      <c r="F140" s="126"/>
      <c r="G140" s="275"/>
      <c r="H140" s="255"/>
      <c r="I140" s="275"/>
      <c r="J140" s="127"/>
      <c r="K140" s="120"/>
      <c r="L140" s="120"/>
      <c r="N140" s="120"/>
      <c r="O140" s="122"/>
      <c r="P140" s="122"/>
    </row>
    <row r="141" spans="1:21">
      <c r="A141" s="126"/>
      <c r="B141" s="126"/>
      <c r="C141" s="126"/>
      <c r="D141" s="126"/>
      <c r="E141" s="126"/>
      <c r="F141" s="126"/>
      <c r="G141" s="275"/>
      <c r="H141" s="255"/>
      <c r="I141" s="275"/>
      <c r="J141" s="127"/>
      <c r="K141" s="120"/>
      <c r="L141" s="120"/>
      <c r="N141" s="120"/>
      <c r="O141" s="122"/>
      <c r="P141" s="122"/>
    </row>
    <row r="142" spans="1:21">
      <c r="A142" s="125"/>
      <c r="B142" s="126"/>
      <c r="C142" s="126"/>
      <c r="D142" s="126"/>
      <c r="E142" s="126"/>
      <c r="F142" s="126"/>
      <c r="G142" s="275"/>
      <c r="H142" s="255"/>
      <c r="I142" s="275"/>
      <c r="J142" s="127"/>
      <c r="K142" s="120"/>
      <c r="L142" s="120"/>
      <c r="N142" s="120"/>
      <c r="O142" s="122"/>
      <c r="P142" s="122"/>
    </row>
    <row r="143" spans="1:21">
      <c r="J143" s="120"/>
      <c r="K143" s="120"/>
      <c r="L143" s="120"/>
      <c r="N143" s="120"/>
      <c r="O143" s="122"/>
      <c r="P143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49"/>
  <sheetViews>
    <sheetView tabSelected="1" zoomScale="85" workbookViewId="0">
      <pane xSplit="1" ySplit="5" topLeftCell="C6" activePane="bottomRight" state="frozen"/>
      <selection activeCell="D1" sqref="D1"/>
      <selection pane="topRight" activeCell="D1" sqref="D1"/>
      <selection pane="bottomLeft" activeCell="D1" sqref="D1"/>
      <selection pane="bottomRight" activeCell="F27" sqref="F27"/>
    </sheetView>
  </sheetViews>
  <sheetFormatPr defaultRowHeight="12.75"/>
  <cols>
    <col min="1" max="1" width="64.140625" customWidth="1"/>
    <col min="2" max="2" width="2.140625" customWidth="1"/>
    <col min="3" max="3" width="15" customWidth="1"/>
    <col min="4" max="6" width="14" customWidth="1"/>
    <col min="7" max="7" width="10.28515625" bestFit="1" customWidth="1"/>
  </cols>
  <sheetData>
    <row r="1" spans="1:7" ht="16.5" thickBot="1">
      <c r="A1" s="282" t="s">
        <v>457</v>
      </c>
    </row>
    <row r="2" spans="1:7" ht="15.75">
      <c r="A2" s="282" t="s">
        <v>454</v>
      </c>
      <c r="F2" s="323"/>
    </row>
    <row r="3" spans="1:7">
      <c r="C3" s="25">
        <v>2001</v>
      </c>
      <c r="D3" s="25">
        <v>2001</v>
      </c>
      <c r="E3" s="25">
        <v>2001</v>
      </c>
      <c r="F3" s="324">
        <v>2002</v>
      </c>
    </row>
    <row r="4" spans="1:7">
      <c r="C4" s="25" t="s">
        <v>295</v>
      </c>
      <c r="D4" s="25" t="s">
        <v>298</v>
      </c>
      <c r="E4" s="25" t="s">
        <v>299</v>
      </c>
      <c r="F4" s="324" t="s">
        <v>299</v>
      </c>
    </row>
    <row r="5" spans="1:7">
      <c r="A5" s="283" t="s">
        <v>306</v>
      </c>
      <c r="C5" s="284" t="s">
        <v>307</v>
      </c>
      <c r="D5" s="284" t="s">
        <v>307</v>
      </c>
      <c r="E5" s="284" t="s">
        <v>307</v>
      </c>
      <c r="F5" s="325" t="s">
        <v>307</v>
      </c>
    </row>
    <row r="6" spans="1:7">
      <c r="F6" s="326"/>
    </row>
    <row r="7" spans="1:7">
      <c r="A7" s="24" t="s">
        <v>308</v>
      </c>
      <c r="F7" s="326"/>
    </row>
    <row r="8" spans="1:7">
      <c r="A8" t="s">
        <v>309</v>
      </c>
      <c r="C8" s="95">
        <v>439574</v>
      </c>
      <c r="D8" s="95">
        <f>(C8/7)*12-78000</f>
        <v>675555.42857142864</v>
      </c>
      <c r="F8" s="326"/>
    </row>
    <row r="9" spans="1:7">
      <c r="A9" s="285" t="s">
        <v>310</v>
      </c>
      <c r="C9" s="95">
        <v>0</v>
      </c>
      <c r="D9" s="95">
        <f>(C9/7)*12</f>
        <v>0</v>
      </c>
      <c r="E9" s="95">
        <v>1306800</v>
      </c>
      <c r="F9" s="327">
        <v>740264</v>
      </c>
    </row>
    <row r="10" spans="1:7">
      <c r="A10" s="285" t="s">
        <v>401</v>
      </c>
      <c r="C10" s="95">
        <v>0</v>
      </c>
      <c r="D10" s="95">
        <f>(C10/7)*12</f>
        <v>0</v>
      </c>
      <c r="E10" s="95">
        <v>36000</v>
      </c>
      <c r="F10" s="327">
        <v>40000</v>
      </c>
    </row>
    <row r="11" spans="1:7">
      <c r="A11" t="s">
        <v>311</v>
      </c>
      <c r="C11" s="95"/>
      <c r="D11" s="95"/>
      <c r="E11" s="95"/>
      <c r="F11" s="327"/>
    </row>
    <row r="12" spans="1:7">
      <c r="A12" s="285" t="s">
        <v>312</v>
      </c>
      <c r="C12" s="95">
        <v>58672</v>
      </c>
      <c r="D12" s="95">
        <f>(C12/7)*12</f>
        <v>100580.57142857143</v>
      </c>
      <c r="E12" s="95">
        <v>200256</v>
      </c>
      <c r="F12" s="327">
        <v>99804</v>
      </c>
    </row>
    <row r="13" spans="1:7">
      <c r="A13" s="285" t="s">
        <v>313</v>
      </c>
      <c r="C13" s="95">
        <v>21105</v>
      </c>
      <c r="D13" s="95">
        <f>(C13/7)*12</f>
        <v>36180</v>
      </c>
      <c r="E13" s="95">
        <v>104230</v>
      </c>
      <c r="F13" s="327">
        <v>35396</v>
      </c>
    </row>
    <row r="14" spans="1:7">
      <c r="A14" s="24" t="s">
        <v>314</v>
      </c>
      <c r="C14" s="286">
        <f>SUM(C8:C13)</f>
        <v>519351</v>
      </c>
      <c r="D14" s="286">
        <f>SUM(D8:D13)</f>
        <v>812316.00000000012</v>
      </c>
      <c r="E14" s="286">
        <f>SUM(E8:E13)</f>
        <v>1647286</v>
      </c>
      <c r="F14" s="328">
        <f>SUM(F8:F13)</f>
        <v>915464</v>
      </c>
      <c r="G14" s="95">
        <f>F88+F14</f>
        <v>1307864</v>
      </c>
    </row>
    <row r="15" spans="1:7">
      <c r="A15" s="285"/>
      <c r="C15" s="95"/>
      <c r="D15" s="95"/>
      <c r="E15" s="95"/>
      <c r="F15" s="327"/>
    </row>
    <row r="16" spans="1:7">
      <c r="A16" t="s">
        <v>315</v>
      </c>
      <c r="C16" s="95"/>
      <c r="D16" s="95"/>
      <c r="E16" s="95"/>
      <c r="F16" s="327"/>
    </row>
    <row r="17" spans="1:6">
      <c r="A17" s="285" t="s">
        <v>316</v>
      </c>
      <c r="C17" s="95">
        <v>7056</v>
      </c>
      <c r="D17" s="95">
        <f t="shared" ref="D17:D24" si="0">(C17/7)*12</f>
        <v>12096</v>
      </c>
      <c r="E17" s="95">
        <v>4800</v>
      </c>
      <c r="F17" s="327">
        <v>5000</v>
      </c>
    </row>
    <row r="18" spans="1:6">
      <c r="A18" s="285" t="s">
        <v>317</v>
      </c>
      <c r="C18" s="95">
        <v>0</v>
      </c>
      <c r="D18" s="95">
        <f t="shared" si="0"/>
        <v>0</v>
      </c>
      <c r="E18" s="95">
        <v>0</v>
      </c>
      <c r="F18" s="327">
        <v>0</v>
      </c>
    </row>
    <row r="19" spans="1:6">
      <c r="A19" s="285" t="s">
        <v>318</v>
      </c>
      <c r="C19" s="95">
        <v>125</v>
      </c>
      <c r="D19" s="95">
        <f t="shared" si="0"/>
        <v>214.28571428571428</v>
      </c>
      <c r="E19" s="95">
        <v>1800</v>
      </c>
      <c r="F19" s="327">
        <v>1800</v>
      </c>
    </row>
    <row r="20" spans="1:6">
      <c r="A20" s="285" t="s">
        <v>319</v>
      </c>
      <c r="C20" s="95">
        <v>29923</v>
      </c>
      <c r="D20" s="95">
        <f t="shared" si="0"/>
        <v>51296.57142857142</v>
      </c>
      <c r="E20" s="95">
        <v>19200</v>
      </c>
      <c r="F20" s="327">
        <v>50000</v>
      </c>
    </row>
    <row r="21" spans="1:6">
      <c r="A21" s="285" t="s">
        <v>320</v>
      </c>
      <c r="C21" s="95">
        <v>12210</v>
      </c>
      <c r="D21" s="95">
        <f t="shared" si="0"/>
        <v>20931.428571428572</v>
      </c>
      <c r="E21" s="95">
        <v>23700</v>
      </c>
      <c r="F21" s="327">
        <v>23700</v>
      </c>
    </row>
    <row r="22" spans="1:6">
      <c r="A22" s="285" t="s">
        <v>321</v>
      </c>
      <c r="C22" s="95">
        <v>0</v>
      </c>
      <c r="D22" s="95">
        <f t="shared" si="0"/>
        <v>0</v>
      </c>
      <c r="E22" s="95">
        <v>12000</v>
      </c>
      <c r="F22" s="327">
        <v>8000</v>
      </c>
    </row>
    <row r="23" spans="1:6">
      <c r="A23" s="285" t="s">
        <v>405</v>
      </c>
      <c r="C23" s="95">
        <v>0</v>
      </c>
      <c r="D23" s="95">
        <f t="shared" si="0"/>
        <v>0</v>
      </c>
      <c r="E23" s="95">
        <v>0</v>
      </c>
      <c r="F23" s="327">
        <v>15000</v>
      </c>
    </row>
    <row r="24" spans="1:6">
      <c r="A24" s="285" t="s">
        <v>322</v>
      </c>
      <c r="C24" s="95">
        <v>90</v>
      </c>
      <c r="D24" s="95">
        <f t="shared" si="0"/>
        <v>154.28571428571428</v>
      </c>
      <c r="E24" s="95">
        <v>1200</v>
      </c>
      <c r="F24" s="327">
        <v>1500</v>
      </c>
    </row>
    <row r="25" spans="1:6">
      <c r="A25" s="137" t="s">
        <v>323</v>
      </c>
      <c r="C25" s="95"/>
      <c r="D25" s="95"/>
      <c r="E25" s="95"/>
      <c r="F25" s="327">
        <v>0</v>
      </c>
    </row>
    <row r="26" spans="1:6">
      <c r="A26" s="285" t="s">
        <v>324</v>
      </c>
      <c r="C26" s="95">
        <v>0</v>
      </c>
      <c r="D26" s="95">
        <f>(C26/7)*12</f>
        <v>0</v>
      </c>
      <c r="E26" s="95">
        <v>0</v>
      </c>
      <c r="F26" s="327">
        <v>0</v>
      </c>
    </row>
    <row r="27" spans="1:6">
      <c r="A27" s="285" t="s">
        <v>325</v>
      </c>
      <c r="C27" s="95">
        <v>0</v>
      </c>
      <c r="D27" s="95">
        <f>(C27/7)*12</f>
        <v>0</v>
      </c>
      <c r="E27" s="95">
        <v>0</v>
      </c>
      <c r="F27" s="327">
        <v>0</v>
      </c>
    </row>
    <row r="28" spans="1:6">
      <c r="A28" s="24" t="s">
        <v>326</v>
      </c>
      <c r="C28" s="286">
        <f>SUM(C17:C27)</f>
        <v>49404</v>
      </c>
      <c r="D28" s="286">
        <f>SUM(D17:D27)</f>
        <v>84692.57142857142</v>
      </c>
      <c r="E28" s="286">
        <f>SUM(E17:E27)</f>
        <v>62700</v>
      </c>
      <c r="F28" s="328">
        <f>SUM(F17:F27)</f>
        <v>105000</v>
      </c>
    </row>
    <row r="29" spans="1:6">
      <c r="F29" s="326"/>
    </row>
    <row r="30" spans="1:6">
      <c r="A30" s="24" t="s">
        <v>327</v>
      </c>
      <c r="F30" s="326"/>
    </row>
    <row r="31" spans="1:6">
      <c r="A31" t="s">
        <v>328</v>
      </c>
      <c r="C31" s="95">
        <v>11269</v>
      </c>
      <c r="D31" s="95">
        <f t="shared" ref="D31:D37" si="1">(C31/7)*12</f>
        <v>19318.285714285714</v>
      </c>
      <c r="E31" s="95">
        <v>10200</v>
      </c>
      <c r="F31" s="327"/>
    </row>
    <row r="32" spans="1:6">
      <c r="A32" s="285" t="s">
        <v>329</v>
      </c>
      <c r="C32" s="95">
        <v>0</v>
      </c>
      <c r="D32" s="95">
        <f t="shared" si="1"/>
        <v>0</v>
      </c>
      <c r="E32" s="95">
        <v>0</v>
      </c>
      <c r="F32" s="327">
        <f>15000*0.5</f>
        <v>7500</v>
      </c>
    </row>
    <row r="33" spans="1:6">
      <c r="A33" s="285" t="s">
        <v>414</v>
      </c>
      <c r="C33" s="95">
        <v>0</v>
      </c>
      <c r="D33" s="95">
        <f t="shared" si="1"/>
        <v>0</v>
      </c>
      <c r="E33" s="95">
        <v>0</v>
      </c>
      <c r="F33" s="327">
        <f>15000*0.35</f>
        <v>5250</v>
      </c>
    </row>
    <row r="34" spans="1:6">
      <c r="A34" s="285" t="s">
        <v>412</v>
      </c>
      <c r="C34" s="95">
        <v>0</v>
      </c>
      <c r="D34" s="95">
        <f t="shared" si="1"/>
        <v>0</v>
      </c>
      <c r="E34" s="95">
        <v>0</v>
      </c>
      <c r="F34" s="327">
        <f>15000*0.1</f>
        <v>1500</v>
      </c>
    </row>
    <row r="35" spans="1:6">
      <c r="A35" s="285" t="s">
        <v>413</v>
      </c>
      <c r="C35" s="95">
        <v>0</v>
      </c>
      <c r="D35" s="95">
        <f t="shared" si="1"/>
        <v>0</v>
      </c>
      <c r="E35" s="95">
        <v>0</v>
      </c>
      <c r="F35" s="327">
        <f>15000*0.05</f>
        <v>750</v>
      </c>
    </row>
    <row r="36" spans="1:6">
      <c r="A36" t="s">
        <v>330</v>
      </c>
      <c r="C36" s="95">
        <v>7542</v>
      </c>
      <c r="D36" s="95">
        <f t="shared" si="1"/>
        <v>12929.142857142855</v>
      </c>
      <c r="E36" s="95">
        <v>72300</v>
      </c>
      <c r="F36" s="327">
        <v>40000</v>
      </c>
    </row>
    <row r="37" spans="1:6">
      <c r="A37" t="s">
        <v>331</v>
      </c>
      <c r="C37" s="104">
        <v>0</v>
      </c>
      <c r="D37" s="95">
        <f t="shared" si="1"/>
        <v>0</v>
      </c>
      <c r="E37" s="104">
        <v>30000</v>
      </c>
      <c r="F37" s="327">
        <v>0</v>
      </c>
    </row>
    <row r="38" spans="1:6">
      <c r="A38" s="24" t="s">
        <v>332</v>
      </c>
      <c r="C38" s="146">
        <f>SUM(C31:C37)</f>
        <v>18811</v>
      </c>
      <c r="D38" s="286">
        <f>SUM(D31:D37)</f>
        <v>32247.428571428569</v>
      </c>
      <c r="E38" s="146">
        <f>SUM(E31:E37)</f>
        <v>112500</v>
      </c>
      <c r="F38" s="328">
        <f>SUM(F31:F37)</f>
        <v>55000</v>
      </c>
    </row>
    <row r="39" spans="1:6">
      <c r="C39" s="95"/>
      <c r="D39" s="95"/>
      <c r="E39" s="95"/>
      <c r="F39" s="327"/>
    </row>
    <row r="40" spans="1:6">
      <c r="A40" s="24" t="s">
        <v>333</v>
      </c>
      <c r="C40" s="95"/>
      <c r="D40" s="95"/>
      <c r="E40" s="95"/>
      <c r="F40" s="327"/>
    </row>
    <row r="41" spans="1:6">
      <c r="A41" s="137" t="s">
        <v>365</v>
      </c>
      <c r="C41" s="95">
        <v>0</v>
      </c>
      <c r="D41" s="302">
        <f>(C41/7)*12</f>
        <v>0</v>
      </c>
      <c r="E41" s="95">
        <v>500</v>
      </c>
      <c r="F41" s="327">
        <v>0</v>
      </c>
    </row>
    <row r="42" spans="1:6">
      <c r="A42" s="137" t="s">
        <v>334</v>
      </c>
      <c r="C42" s="95"/>
      <c r="D42" s="95"/>
      <c r="E42" s="95"/>
      <c r="F42" s="327"/>
    </row>
    <row r="43" spans="1:6">
      <c r="A43" s="285" t="s">
        <v>335</v>
      </c>
      <c r="C43" s="95">
        <v>0</v>
      </c>
      <c r="D43" s="95">
        <f t="shared" ref="D43:D50" si="2">(C43/7)*12</f>
        <v>0</v>
      </c>
      <c r="E43" s="95">
        <v>0</v>
      </c>
      <c r="F43" s="327">
        <v>0</v>
      </c>
    </row>
    <row r="44" spans="1:6">
      <c r="A44" s="285" t="s">
        <v>336</v>
      </c>
      <c r="C44" s="95">
        <v>0</v>
      </c>
      <c r="D44" s="95">
        <f t="shared" si="2"/>
        <v>0</v>
      </c>
      <c r="E44" s="95">
        <v>0</v>
      </c>
      <c r="F44" s="327">
        <v>0</v>
      </c>
    </row>
    <row r="45" spans="1:6">
      <c r="A45" s="285" t="s">
        <v>337</v>
      </c>
      <c r="C45" s="95">
        <v>0</v>
      </c>
      <c r="D45" s="95">
        <f t="shared" si="2"/>
        <v>0</v>
      </c>
      <c r="E45" s="95">
        <v>0</v>
      </c>
      <c r="F45" s="327">
        <v>0</v>
      </c>
    </row>
    <row r="46" spans="1:6">
      <c r="A46" s="285" t="s">
        <v>338</v>
      </c>
      <c r="C46" s="95">
        <v>0</v>
      </c>
      <c r="D46" s="95">
        <f t="shared" si="2"/>
        <v>0</v>
      </c>
      <c r="E46" s="95">
        <v>0</v>
      </c>
      <c r="F46" s="327">
        <v>0</v>
      </c>
    </row>
    <row r="47" spans="1:6">
      <c r="A47" s="285" t="s">
        <v>339</v>
      </c>
      <c r="C47" s="95">
        <v>0</v>
      </c>
      <c r="D47" s="95">
        <f t="shared" si="2"/>
        <v>0</v>
      </c>
      <c r="E47" s="95">
        <v>0</v>
      </c>
      <c r="F47" s="327">
        <v>0</v>
      </c>
    </row>
    <row r="48" spans="1:6">
      <c r="A48" s="285" t="s">
        <v>340</v>
      </c>
      <c r="C48" s="95">
        <v>0</v>
      </c>
      <c r="D48" s="95">
        <f t="shared" si="2"/>
        <v>0</v>
      </c>
      <c r="E48" s="95">
        <v>0</v>
      </c>
      <c r="F48" s="327">
        <v>0</v>
      </c>
    </row>
    <row r="49" spans="1:6">
      <c r="A49" s="287" t="s">
        <v>455</v>
      </c>
      <c r="C49" s="95">
        <v>1599</v>
      </c>
      <c r="D49" s="95">
        <f t="shared" si="2"/>
        <v>2741.1428571428569</v>
      </c>
      <c r="E49" s="95">
        <f>8400+1200</f>
        <v>9600</v>
      </c>
      <c r="F49" s="327">
        <v>5000</v>
      </c>
    </row>
    <row r="50" spans="1:6">
      <c r="A50" s="285" t="s">
        <v>456</v>
      </c>
      <c r="C50" s="104">
        <v>0</v>
      </c>
      <c r="D50" s="95">
        <f t="shared" si="2"/>
        <v>0</v>
      </c>
      <c r="E50" s="104">
        <v>0</v>
      </c>
      <c r="F50" s="327">
        <v>0</v>
      </c>
    </row>
    <row r="51" spans="1:6">
      <c r="A51" s="24" t="s">
        <v>341</v>
      </c>
      <c r="C51" s="146">
        <f>SUM(C41:C50)</f>
        <v>1599</v>
      </c>
      <c r="D51" s="286">
        <f>SUM(D41:D50)</f>
        <v>2741.1428571428569</v>
      </c>
      <c r="E51" s="146">
        <f>SUM(E41:E50)</f>
        <v>10100</v>
      </c>
      <c r="F51" s="328">
        <f>SUM(F41:F50)</f>
        <v>5000</v>
      </c>
    </row>
    <row r="52" spans="1:6">
      <c r="C52" s="95"/>
      <c r="D52" s="95"/>
      <c r="E52" s="95"/>
      <c r="F52" s="327"/>
    </row>
    <row r="53" spans="1:6">
      <c r="A53" s="24" t="s">
        <v>342</v>
      </c>
      <c r="C53" s="95"/>
      <c r="D53" s="95"/>
      <c r="E53" s="95"/>
      <c r="F53" s="327"/>
    </row>
    <row r="54" spans="1:6">
      <c r="A54" t="s">
        <v>343</v>
      </c>
      <c r="C54" s="95"/>
      <c r="D54" s="95"/>
      <c r="E54" s="95"/>
      <c r="F54" s="327"/>
    </row>
    <row r="55" spans="1:6">
      <c r="A55" s="285" t="s">
        <v>344</v>
      </c>
      <c r="C55" s="95">
        <v>1445</v>
      </c>
      <c r="D55" s="95">
        <f t="shared" ref="D55:D61" si="3">(C55/7)*12</f>
        <v>2477.1428571428569</v>
      </c>
      <c r="E55" s="95">
        <v>1500</v>
      </c>
      <c r="F55" s="327">
        <v>2000</v>
      </c>
    </row>
    <row r="56" spans="1:6">
      <c r="A56" s="285" t="s">
        <v>345</v>
      </c>
      <c r="C56" s="95">
        <v>0</v>
      </c>
      <c r="D56" s="95">
        <f t="shared" si="3"/>
        <v>0</v>
      </c>
      <c r="E56" s="95">
        <v>0</v>
      </c>
      <c r="F56" s="327">
        <v>0</v>
      </c>
    </row>
    <row r="57" spans="1:6">
      <c r="A57" s="285" t="s">
        <v>346</v>
      </c>
      <c r="C57" s="95">
        <v>3973</v>
      </c>
      <c r="D57" s="95">
        <f t="shared" si="3"/>
        <v>6810.8571428571431</v>
      </c>
      <c r="E57" s="95">
        <f>1200+12000</f>
        <v>13200</v>
      </c>
      <c r="F57" s="327">
        <v>13000</v>
      </c>
    </row>
    <row r="58" spans="1:6">
      <c r="A58" s="137" t="s">
        <v>399</v>
      </c>
      <c r="C58" s="95">
        <v>471</v>
      </c>
      <c r="D58" s="95">
        <f t="shared" si="3"/>
        <v>807.42857142857156</v>
      </c>
      <c r="E58" s="95">
        <v>96000</v>
      </c>
      <c r="F58" s="327">
        <v>25000</v>
      </c>
    </row>
    <row r="59" spans="1:6">
      <c r="A59" s="137" t="s">
        <v>348</v>
      </c>
      <c r="C59" s="95">
        <v>0</v>
      </c>
      <c r="D59" s="95">
        <f t="shared" si="3"/>
        <v>0</v>
      </c>
      <c r="E59" s="95">
        <v>27000</v>
      </c>
      <c r="F59" s="327">
        <v>0</v>
      </c>
    </row>
    <row r="60" spans="1:6">
      <c r="A60" s="137" t="s">
        <v>400</v>
      </c>
      <c r="C60" s="95">
        <v>65</v>
      </c>
      <c r="D60" s="95">
        <f t="shared" si="3"/>
        <v>111.42857142857144</v>
      </c>
      <c r="E60" s="95">
        <v>600</v>
      </c>
      <c r="F60" s="327">
        <v>600</v>
      </c>
    </row>
    <row r="61" spans="1:6">
      <c r="A61" t="s">
        <v>403</v>
      </c>
      <c r="C61" s="104">
        <v>15440</v>
      </c>
      <c r="D61" s="95">
        <f t="shared" si="3"/>
        <v>26468.571428571428</v>
      </c>
      <c r="E61" s="104">
        <v>12000</v>
      </c>
      <c r="F61" s="327">
        <v>50000</v>
      </c>
    </row>
    <row r="62" spans="1:6">
      <c r="A62" s="24" t="s">
        <v>349</v>
      </c>
      <c r="C62" s="146">
        <f>SUM(C54:C61)</f>
        <v>21394</v>
      </c>
      <c r="D62" s="286">
        <f>SUM(D54:D61)</f>
        <v>36675.428571428572</v>
      </c>
      <c r="E62" s="146">
        <f>SUM(E54:E61)</f>
        <v>150300</v>
      </c>
      <c r="F62" s="328">
        <f>SUM(F54:F61)</f>
        <v>90600</v>
      </c>
    </row>
    <row r="63" spans="1:6">
      <c r="C63" s="95"/>
      <c r="D63" s="95"/>
      <c r="E63" s="95"/>
      <c r="F63" s="327"/>
    </row>
    <row r="64" spans="1:6">
      <c r="A64" s="24" t="s">
        <v>350</v>
      </c>
      <c r="C64" s="95"/>
      <c r="D64" s="97"/>
      <c r="E64" s="95"/>
      <c r="F64" s="327"/>
    </row>
    <row r="65" spans="1:7">
      <c r="A65" s="137" t="s">
        <v>398</v>
      </c>
      <c r="C65" s="164">
        <v>35949</v>
      </c>
      <c r="D65" s="95">
        <f>(C65/7)*12</f>
        <v>61626.857142857145</v>
      </c>
      <c r="E65" s="288"/>
      <c r="F65" s="327">
        <v>75000</v>
      </c>
    </row>
    <row r="66" spans="1:7">
      <c r="A66" s="285" t="s">
        <v>406</v>
      </c>
      <c r="C66" s="95">
        <v>0</v>
      </c>
      <c r="D66" s="95">
        <f t="shared" ref="D66:D72" si="4">(C66/7)*12</f>
        <v>0</v>
      </c>
      <c r="E66" s="288">
        <v>0</v>
      </c>
      <c r="F66" s="327">
        <v>0</v>
      </c>
    </row>
    <row r="67" spans="1:7">
      <c r="A67" s="285" t="s">
        <v>407</v>
      </c>
      <c r="C67" s="95">
        <v>0</v>
      </c>
      <c r="D67" s="95">
        <f t="shared" si="4"/>
        <v>0</v>
      </c>
      <c r="E67" s="288">
        <v>0</v>
      </c>
      <c r="F67" s="327">
        <v>0</v>
      </c>
    </row>
    <row r="68" spans="1:7">
      <c r="A68" s="285" t="s">
        <v>408</v>
      </c>
      <c r="C68" s="95">
        <v>0</v>
      </c>
      <c r="D68" s="95">
        <f t="shared" si="4"/>
        <v>0</v>
      </c>
      <c r="E68" s="288">
        <v>0</v>
      </c>
      <c r="F68" s="327">
        <v>0</v>
      </c>
    </row>
    <row r="69" spans="1:7">
      <c r="A69" s="303" t="s">
        <v>415</v>
      </c>
      <c r="C69" s="95">
        <v>383948</v>
      </c>
      <c r="D69" s="95">
        <f t="shared" si="4"/>
        <v>658196.57142857136</v>
      </c>
      <c r="E69" s="288">
        <v>745000</v>
      </c>
      <c r="F69" s="327">
        <v>745000</v>
      </c>
    </row>
    <row r="70" spans="1:7">
      <c r="A70" s="285" t="s">
        <v>409</v>
      </c>
      <c r="C70" s="95">
        <v>0</v>
      </c>
      <c r="D70" s="95">
        <f t="shared" si="4"/>
        <v>0</v>
      </c>
      <c r="E70" s="288">
        <v>0</v>
      </c>
      <c r="F70" s="327">
        <v>0</v>
      </c>
    </row>
    <row r="71" spans="1:7">
      <c r="A71" s="285" t="s">
        <v>410</v>
      </c>
      <c r="C71" s="95">
        <v>0</v>
      </c>
      <c r="D71" s="95">
        <f t="shared" si="4"/>
        <v>0</v>
      </c>
      <c r="E71" s="288">
        <v>0</v>
      </c>
      <c r="F71" s="327">
        <v>0</v>
      </c>
    </row>
    <row r="72" spans="1:7">
      <c r="A72" s="285" t="s">
        <v>411</v>
      </c>
      <c r="C72" s="145">
        <v>0</v>
      </c>
      <c r="D72" s="95">
        <f t="shared" si="4"/>
        <v>0</v>
      </c>
      <c r="E72" s="145">
        <v>0</v>
      </c>
      <c r="F72" s="327">
        <v>0</v>
      </c>
    </row>
    <row r="73" spans="1:7">
      <c r="A73" s="24" t="s">
        <v>351</v>
      </c>
      <c r="C73" s="286">
        <f>SUM(C65:C72)</f>
        <v>419897</v>
      </c>
      <c r="D73" s="286">
        <f>SUM(D65:D72)</f>
        <v>719823.42857142852</v>
      </c>
      <c r="E73" s="286">
        <f>SUM(E65:E72)</f>
        <v>745000</v>
      </c>
      <c r="F73" s="328">
        <f>SUM(F65:F72)</f>
        <v>820000</v>
      </c>
    </row>
    <row r="74" spans="1:7">
      <c r="C74" s="95"/>
      <c r="D74" s="95"/>
      <c r="E74" s="95"/>
      <c r="F74" s="327"/>
    </row>
    <row r="75" spans="1:7">
      <c r="A75" s="24" t="s">
        <v>352</v>
      </c>
      <c r="C75" s="95">
        <v>818101</v>
      </c>
      <c r="D75" s="97">
        <f>(C75/7)*12</f>
        <v>1402458.8571428573</v>
      </c>
      <c r="E75" s="95">
        <v>1397000</v>
      </c>
      <c r="F75" s="327">
        <v>1397000</v>
      </c>
      <c r="G75" t="s">
        <v>504</v>
      </c>
    </row>
    <row r="76" spans="1:7" hidden="1">
      <c r="A76" s="137" t="s">
        <v>353</v>
      </c>
      <c r="C76" s="95">
        <v>0</v>
      </c>
      <c r="D76" s="95">
        <v>0</v>
      </c>
      <c r="E76" s="95">
        <v>0</v>
      </c>
      <c r="F76" s="327">
        <v>0</v>
      </c>
    </row>
    <row r="77" spans="1:7" hidden="1">
      <c r="A77" s="137" t="s">
        <v>354</v>
      </c>
      <c r="C77" s="95">
        <v>0</v>
      </c>
      <c r="D77" s="95">
        <v>0</v>
      </c>
      <c r="E77" s="95">
        <v>0</v>
      </c>
      <c r="F77" s="327">
        <v>0</v>
      </c>
    </row>
    <row r="78" spans="1:7" hidden="1">
      <c r="A78" s="137" t="s">
        <v>355</v>
      </c>
      <c r="C78" s="95">
        <v>0</v>
      </c>
      <c r="D78" s="95">
        <v>0</v>
      </c>
      <c r="E78" s="95">
        <v>0</v>
      </c>
      <c r="F78" s="327">
        <v>0</v>
      </c>
    </row>
    <row r="79" spans="1:7" hidden="1">
      <c r="A79" s="137" t="s">
        <v>356</v>
      </c>
      <c r="C79" s="95">
        <v>0</v>
      </c>
      <c r="D79" s="95">
        <v>0</v>
      </c>
      <c r="E79" s="95">
        <v>0</v>
      </c>
      <c r="F79" s="327">
        <v>0</v>
      </c>
    </row>
    <row r="80" spans="1:7" hidden="1">
      <c r="A80" s="137" t="s">
        <v>357</v>
      </c>
      <c r="C80" s="95">
        <v>0</v>
      </c>
      <c r="D80" s="288">
        <v>0</v>
      </c>
      <c r="E80" s="288">
        <v>0</v>
      </c>
      <c r="F80" s="329">
        <v>0</v>
      </c>
    </row>
    <row r="81" spans="1:7" hidden="1">
      <c r="A81" s="137" t="s">
        <v>358</v>
      </c>
      <c r="C81" s="104">
        <v>0</v>
      </c>
      <c r="D81" s="104">
        <v>0</v>
      </c>
      <c r="E81" s="104">
        <v>0</v>
      </c>
      <c r="F81" s="330">
        <v>0</v>
      </c>
    </row>
    <row r="82" spans="1:7">
      <c r="A82" s="24" t="s">
        <v>359</v>
      </c>
      <c r="C82" s="286">
        <f>C75</f>
        <v>818101</v>
      </c>
      <c r="D82" s="286">
        <f>D75</f>
        <v>1402458.8571428573</v>
      </c>
      <c r="E82" s="286">
        <f>E75</f>
        <v>1397000</v>
      </c>
      <c r="F82" s="328">
        <f>F75</f>
        <v>1397000</v>
      </c>
    </row>
    <row r="83" spans="1:7">
      <c r="C83" s="95"/>
      <c r="D83" s="95"/>
      <c r="E83" s="95"/>
      <c r="F83" s="327"/>
    </row>
    <row r="84" spans="1:7">
      <c r="A84" s="24" t="s">
        <v>360</v>
      </c>
      <c r="C84" s="104">
        <v>0</v>
      </c>
      <c r="D84" s="97">
        <f>(C84/7)*12</f>
        <v>0</v>
      </c>
      <c r="E84" s="104">
        <v>0</v>
      </c>
      <c r="F84" s="327">
        <v>0</v>
      </c>
    </row>
    <row r="85" spans="1:7">
      <c r="A85" s="24" t="s">
        <v>361</v>
      </c>
      <c r="C85" s="289">
        <f>SUM(C84)</f>
        <v>0</v>
      </c>
      <c r="D85" s="301">
        <f>SUM(D84)</f>
        <v>0</v>
      </c>
      <c r="E85" s="289">
        <f>SUM(E84)</f>
        <v>0</v>
      </c>
      <c r="F85" s="331">
        <f>SUM(F84)</f>
        <v>0</v>
      </c>
    </row>
    <row r="86" spans="1:7">
      <c r="C86" s="95"/>
      <c r="D86" s="95"/>
      <c r="E86" s="95"/>
      <c r="F86" s="327"/>
    </row>
    <row r="87" spans="1:7">
      <c r="A87" s="24" t="s">
        <v>402</v>
      </c>
      <c r="C87" s="104">
        <f>33734+11535</f>
        <v>45269</v>
      </c>
      <c r="D87" s="302">
        <f>(C87/7)*12+78000</f>
        <v>155604</v>
      </c>
      <c r="E87" s="104">
        <v>0</v>
      </c>
      <c r="F87" s="330">
        <f>(12000*12)*2+(8700*12)</f>
        <v>392400</v>
      </c>
      <c r="G87" t="s">
        <v>474</v>
      </c>
    </row>
    <row r="88" spans="1:7">
      <c r="A88" s="24" t="s">
        <v>362</v>
      </c>
      <c r="C88" s="286">
        <f>C87</f>
        <v>45269</v>
      </c>
      <c r="D88" s="286">
        <f>D87</f>
        <v>155604</v>
      </c>
      <c r="E88" s="286">
        <f>E87</f>
        <v>0</v>
      </c>
      <c r="F88" s="328">
        <f>F87</f>
        <v>392400</v>
      </c>
    </row>
    <row r="89" spans="1:7">
      <c r="A89" s="137"/>
      <c r="C89" s="145"/>
      <c r="D89" s="145"/>
      <c r="E89" s="145"/>
      <c r="F89" s="327"/>
    </row>
    <row r="90" spans="1:7">
      <c r="A90" s="24" t="s">
        <v>363</v>
      </c>
      <c r="C90" s="95"/>
      <c r="D90" s="95"/>
      <c r="E90" s="95"/>
      <c r="F90" s="327"/>
    </row>
    <row r="91" spans="1:7">
      <c r="A91" s="137" t="s">
        <v>364</v>
      </c>
      <c r="C91" s="95">
        <v>0</v>
      </c>
      <c r="D91" s="302">
        <f>(C91/7)*12</f>
        <v>0</v>
      </c>
      <c r="E91" s="95">
        <v>0</v>
      </c>
      <c r="F91" s="327">
        <v>0</v>
      </c>
    </row>
    <row r="92" spans="1:7">
      <c r="A92" s="137" t="s">
        <v>347</v>
      </c>
      <c r="C92" s="95">
        <v>0</v>
      </c>
      <c r="D92" s="95">
        <f>(C92/7)*12</f>
        <v>0</v>
      </c>
      <c r="E92" s="95">
        <v>0</v>
      </c>
      <c r="F92" s="327">
        <v>0</v>
      </c>
    </row>
    <row r="93" spans="1:7">
      <c r="A93" s="137" t="s">
        <v>366</v>
      </c>
      <c r="C93" s="95">
        <v>0</v>
      </c>
      <c r="D93" s="302">
        <f>(C93/7)*12</f>
        <v>0</v>
      </c>
      <c r="E93" s="95"/>
      <c r="F93" s="327">
        <v>0</v>
      </c>
    </row>
    <row r="94" spans="1:7">
      <c r="A94" s="137" t="s">
        <v>404</v>
      </c>
      <c r="C94" s="95">
        <v>75</v>
      </c>
      <c r="D94" s="302">
        <f>(C94/7)*12</f>
        <v>128.57142857142856</v>
      </c>
      <c r="E94" s="95"/>
      <c r="F94" s="327">
        <v>0</v>
      </c>
    </row>
    <row r="95" spans="1:7">
      <c r="A95" s="137" t="s">
        <v>367</v>
      </c>
      <c r="C95" s="104">
        <f>325+1456+1498+664</f>
        <v>3943</v>
      </c>
      <c r="D95" s="302">
        <f>(C95/7)*12</f>
        <v>6759.4285714285725</v>
      </c>
      <c r="E95" s="104">
        <v>0</v>
      </c>
      <c r="F95" s="327">
        <v>6000</v>
      </c>
    </row>
    <row r="96" spans="1:7">
      <c r="A96" s="24" t="s">
        <v>368</v>
      </c>
      <c r="C96" s="146">
        <f>SUM(C91:C95)</f>
        <v>4018</v>
      </c>
      <c r="D96" s="286">
        <f>SUM(D91:D95)</f>
        <v>6888.0000000000009</v>
      </c>
      <c r="E96" s="146">
        <f>SUM(E91:E95)</f>
        <v>0</v>
      </c>
      <c r="F96" s="328">
        <f>SUM(F91:F95)</f>
        <v>6000</v>
      </c>
    </row>
    <row r="97" spans="1:6">
      <c r="C97" s="95"/>
      <c r="D97" s="95"/>
      <c r="E97" s="95"/>
      <c r="F97" s="327"/>
    </row>
    <row r="98" spans="1:6">
      <c r="A98" s="24" t="s">
        <v>369</v>
      </c>
      <c r="C98" s="104">
        <v>0</v>
      </c>
      <c r="D98" s="302">
        <f>(C98/7)*12</f>
        <v>0</v>
      </c>
      <c r="E98" s="290">
        <v>200000</v>
      </c>
      <c r="F98" s="327">
        <v>50000</v>
      </c>
    </row>
    <row r="99" spans="1:6">
      <c r="A99" s="24" t="s">
        <v>370</v>
      </c>
      <c r="C99" s="289">
        <f>SUM(C98)</f>
        <v>0</v>
      </c>
      <c r="D99" s="301">
        <f>SUM(D98)</f>
        <v>0</v>
      </c>
      <c r="E99" s="146">
        <f>SUM(E98)</f>
        <v>200000</v>
      </c>
      <c r="F99" s="331">
        <f>SUM(F98)</f>
        <v>50000</v>
      </c>
    </row>
    <row r="100" spans="1:6">
      <c r="C100" s="95"/>
      <c r="D100" s="95"/>
      <c r="E100" s="95"/>
      <c r="F100" s="327"/>
    </row>
    <row r="101" spans="1:6">
      <c r="A101" s="24" t="s">
        <v>371</v>
      </c>
      <c r="C101" s="104">
        <v>0</v>
      </c>
      <c r="D101" s="302">
        <f>(C101/7)*12</f>
        <v>0</v>
      </c>
      <c r="E101" s="290">
        <v>4000</v>
      </c>
      <c r="F101" s="327">
        <v>0</v>
      </c>
    </row>
    <row r="102" spans="1:6">
      <c r="A102" s="24" t="s">
        <v>372</v>
      </c>
      <c r="C102" s="289">
        <f>SUM(C101)</f>
        <v>0</v>
      </c>
      <c r="D102" s="301">
        <f>SUM(D101)</f>
        <v>0</v>
      </c>
      <c r="E102" s="146">
        <f>SUM(E101)</f>
        <v>4000</v>
      </c>
      <c r="F102" s="331">
        <f>SUM(F101)</f>
        <v>0</v>
      </c>
    </row>
    <row r="103" spans="1:6">
      <c r="C103" s="95"/>
      <c r="D103" s="95"/>
      <c r="E103" s="95"/>
      <c r="F103" s="327"/>
    </row>
    <row r="104" spans="1:6">
      <c r="A104" s="24" t="s">
        <v>373</v>
      </c>
      <c r="C104" s="95"/>
      <c r="D104" s="95"/>
      <c r="E104" s="95"/>
      <c r="F104" s="327"/>
    </row>
    <row r="105" spans="1:6">
      <c r="A105" s="137" t="s">
        <v>374</v>
      </c>
      <c r="C105" s="145">
        <v>0</v>
      </c>
      <c r="D105" s="302">
        <f>(C105/7)*12</f>
        <v>0</v>
      </c>
      <c r="E105" s="145">
        <v>0</v>
      </c>
      <c r="F105" s="327">
        <v>0</v>
      </c>
    </row>
    <row r="106" spans="1:6">
      <c r="A106" s="137" t="s">
        <v>375</v>
      </c>
      <c r="C106" s="145">
        <v>0</v>
      </c>
      <c r="D106" s="302">
        <f>(C106/7)*12</f>
        <v>0</v>
      </c>
      <c r="E106" s="145">
        <v>0</v>
      </c>
      <c r="F106" s="327">
        <v>0</v>
      </c>
    </row>
    <row r="107" spans="1:6">
      <c r="A107" s="24" t="s">
        <v>376</v>
      </c>
      <c r="C107" s="286">
        <f>SUM(C105:C106)</f>
        <v>0</v>
      </c>
      <c r="D107" s="286">
        <f>SUM(D105:D106)</f>
        <v>0</v>
      </c>
      <c r="E107" s="286">
        <f>SUM(E105:E106)</f>
        <v>0</v>
      </c>
      <c r="F107" s="328">
        <f>SUM(F105:F106)</f>
        <v>0</v>
      </c>
    </row>
    <row r="108" spans="1:6" ht="13.5" thickBot="1">
      <c r="C108" s="95"/>
      <c r="D108" s="95"/>
      <c r="E108" s="95"/>
      <c r="F108" s="327"/>
    </row>
    <row r="109" spans="1:6">
      <c r="C109" s="291"/>
      <c r="D109" s="291"/>
      <c r="E109" s="291"/>
      <c r="F109" s="332"/>
    </row>
    <row r="110" spans="1:6" ht="15.75" thickBot="1">
      <c r="A110" s="35" t="s">
        <v>377</v>
      </c>
      <c r="C110" s="292">
        <f>C107+C102+C99+C96+C88+C85+C82+C73+C62+C51+C38+C28+C14</f>
        <v>1897844</v>
      </c>
      <c r="D110" s="292">
        <f>D107+D102+D99+D96+D88+D85+D82+D73+D62+D51+D38+D28+D14</f>
        <v>3253446.8571428573</v>
      </c>
      <c r="E110" s="292">
        <f>E107+E102+E99+E96+E88+E85+E82+E73+E62+E51+E38+E28+E14</f>
        <v>4328886</v>
      </c>
      <c r="F110" s="333">
        <f>F107+F102+F99+F96+F88+F85+F82+F73+F62+F51+F38+F28+F14</f>
        <v>3836464</v>
      </c>
    </row>
    <row r="111" spans="1:6" ht="14.25" thickTop="1" thickBot="1">
      <c r="C111" s="95"/>
      <c r="D111" s="95"/>
      <c r="E111" s="95"/>
      <c r="F111" s="334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/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1" sqref="B21"/>
    </sheetView>
  </sheetViews>
  <sheetFormatPr defaultRowHeight="12.75"/>
  <cols>
    <col min="1" max="1" width="17.42578125" customWidth="1"/>
    <col min="2" max="2" width="4" bestFit="1" customWidth="1"/>
  </cols>
  <sheetData>
    <row r="1" spans="1:3">
      <c r="A1" t="s">
        <v>479</v>
      </c>
    </row>
    <row r="2" spans="1:3">
      <c r="A2" t="s">
        <v>301</v>
      </c>
    </row>
    <row r="4" spans="1:3">
      <c r="A4" s="258" t="s">
        <v>302</v>
      </c>
      <c r="C4" s="258" t="s">
        <v>303</v>
      </c>
    </row>
    <row r="5" spans="1:3">
      <c r="A5" s="335" t="s">
        <v>458</v>
      </c>
      <c r="C5" s="22" t="s">
        <v>459</v>
      </c>
    </row>
    <row r="6" spans="1:3">
      <c r="A6" s="335" t="s">
        <v>461</v>
      </c>
      <c r="C6" s="22" t="s">
        <v>459</v>
      </c>
    </row>
    <row r="7" spans="1:3">
      <c r="A7" s="22"/>
      <c r="B7" s="24">
        <v>2</v>
      </c>
      <c r="C7" s="37" t="s">
        <v>460</v>
      </c>
    </row>
    <row r="8" spans="1:3">
      <c r="A8" t="s">
        <v>465</v>
      </c>
      <c r="B8" s="24"/>
      <c r="C8" s="137" t="s">
        <v>207</v>
      </c>
    </row>
    <row r="9" spans="1:3">
      <c r="A9" t="s">
        <v>473</v>
      </c>
      <c r="B9" s="24"/>
      <c r="C9" s="137" t="s">
        <v>207</v>
      </c>
    </row>
    <row r="10" spans="1:3">
      <c r="A10" t="s">
        <v>473</v>
      </c>
      <c r="B10" s="24"/>
      <c r="C10" s="137" t="s">
        <v>207</v>
      </c>
    </row>
    <row r="11" spans="1:3">
      <c r="A11" t="s">
        <v>473</v>
      </c>
      <c r="B11" s="24"/>
      <c r="C11" s="137" t="s">
        <v>207</v>
      </c>
    </row>
    <row r="12" spans="1:3">
      <c r="B12" s="24">
        <v>4</v>
      </c>
      <c r="C12" s="24" t="s">
        <v>466</v>
      </c>
    </row>
    <row r="13" spans="1:3">
      <c r="A13" t="s">
        <v>462</v>
      </c>
      <c r="B13" s="24"/>
      <c r="C13" s="137" t="s">
        <v>463</v>
      </c>
    </row>
    <row r="14" spans="1:3">
      <c r="A14" t="s">
        <v>467</v>
      </c>
      <c r="B14" s="24"/>
      <c r="C14" s="137" t="s">
        <v>463</v>
      </c>
    </row>
    <row r="15" spans="1:3">
      <c r="B15" s="24">
        <v>2</v>
      </c>
      <c r="C15" s="24" t="s">
        <v>464</v>
      </c>
    </row>
    <row r="16" spans="1:3">
      <c r="A16" t="s">
        <v>468</v>
      </c>
      <c r="B16" s="24"/>
      <c r="C16" s="137" t="s">
        <v>469</v>
      </c>
    </row>
    <row r="17" spans="1:3">
      <c r="B17" s="24">
        <v>1</v>
      </c>
      <c r="C17" s="24" t="s">
        <v>470</v>
      </c>
    </row>
    <row r="18" spans="1:3">
      <c r="A18" t="s">
        <v>472</v>
      </c>
      <c r="B18" s="24"/>
      <c r="C18" s="137" t="s">
        <v>39</v>
      </c>
    </row>
    <row r="19" spans="1:3">
      <c r="B19" s="24">
        <v>1</v>
      </c>
      <c r="C19" s="24" t="s">
        <v>471</v>
      </c>
    </row>
    <row r="21" spans="1:3">
      <c r="B21" s="24">
        <f>SUM(B5:B20)</f>
        <v>10</v>
      </c>
      <c r="C21" s="24" t="s">
        <v>304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4" customWidth="1"/>
    <col min="2" max="2" width="11.85546875" style="294" customWidth="1"/>
    <col min="3" max="3" width="1" style="294" customWidth="1"/>
    <col min="4" max="4" width="62.42578125" style="294" customWidth="1"/>
    <col min="5" max="8" width="8" style="294" customWidth="1"/>
    <col min="9" max="9" width="11.42578125" style="294" customWidth="1"/>
    <col min="10" max="16384" width="8" style="294"/>
  </cols>
  <sheetData>
    <row r="1" spans="1:4" ht="13.5" thickBot="1">
      <c r="A1" s="293" t="s">
        <v>378</v>
      </c>
    </row>
    <row r="2" spans="1:4" ht="18" customHeight="1" thickBot="1">
      <c r="B2" s="295">
        <v>4800</v>
      </c>
      <c r="D2" s="294" t="s">
        <v>379</v>
      </c>
    </row>
    <row r="3" spans="1:4" ht="13.5" thickBot="1"/>
    <row r="4" spans="1:4" ht="18" customHeight="1">
      <c r="B4" s="296">
        <v>3.7499999999999999E-2</v>
      </c>
      <c r="D4" s="294" t="s">
        <v>380</v>
      </c>
    </row>
    <row r="5" spans="1:4" ht="18" customHeight="1">
      <c r="B5" s="297">
        <v>1.2500000000000001E-2</v>
      </c>
      <c r="D5" s="294" t="s">
        <v>381</v>
      </c>
    </row>
    <row r="6" spans="1:4" ht="18" customHeight="1">
      <c r="B6" s="297">
        <v>0.03</v>
      </c>
      <c r="D6" s="294" t="s">
        <v>382</v>
      </c>
    </row>
    <row r="7" spans="1:4" ht="18" customHeight="1" thickBot="1">
      <c r="B7" s="298">
        <v>1.0999999999999999E-2</v>
      </c>
      <c r="D7" s="294" t="s">
        <v>383</v>
      </c>
    </row>
    <row r="8" spans="1:4" ht="18" customHeight="1" thickBot="1">
      <c r="B8" s="299">
        <f>SUM(B4:B7)</f>
        <v>9.0999999999999998E-2</v>
      </c>
      <c r="D8" s="294" t="s">
        <v>384</v>
      </c>
    </row>
    <row r="11" spans="1:4" ht="13.5" thickBot="1">
      <c r="A11" s="293" t="s">
        <v>385</v>
      </c>
    </row>
    <row r="12" spans="1:4" ht="18" customHeight="1" thickBot="1">
      <c r="B12" s="295">
        <v>84500</v>
      </c>
      <c r="D12" s="294" t="s">
        <v>386</v>
      </c>
    </row>
    <row r="13" spans="1:4" ht="13.5" thickBot="1"/>
    <row r="14" spans="1:4" ht="18" customHeight="1" thickBot="1">
      <c r="B14" s="299">
        <v>6.2E-2</v>
      </c>
      <c r="D14" s="294" t="s">
        <v>387</v>
      </c>
    </row>
    <row r="15" spans="1:4" ht="13.5" thickBot="1"/>
    <row r="16" spans="1:4" ht="18" customHeight="1" thickBot="1">
      <c r="B16" s="299">
        <v>1.4500000000000001E-2</v>
      </c>
      <c r="D16" s="294" t="s">
        <v>388</v>
      </c>
    </row>
    <row r="20" spans="1:4" ht="13.5" thickBot="1">
      <c r="A20" s="293" t="s">
        <v>389</v>
      </c>
    </row>
    <row r="21" spans="1:4" ht="13.5" thickBot="1">
      <c r="B21" s="300">
        <v>8700</v>
      </c>
      <c r="D21" s="294" t="s">
        <v>390</v>
      </c>
    </row>
    <row r="22" spans="1:4" ht="13.5" thickBot="1"/>
    <row r="23" spans="1:4" ht="13.5" thickBot="1">
      <c r="B23" s="300">
        <v>7800</v>
      </c>
      <c r="D23" s="294" t="s">
        <v>391</v>
      </c>
    </row>
    <row r="24" spans="1:4" ht="13.5" thickBot="1">
      <c r="B24" s="34"/>
    </row>
    <row r="25" spans="1:4" ht="13.5" thickBot="1">
      <c r="B25" s="300">
        <v>3900</v>
      </c>
      <c r="D25" s="294" t="s">
        <v>392</v>
      </c>
    </row>
    <row r="26" spans="1:4" ht="13.5" thickBot="1">
      <c r="B26" s="34"/>
    </row>
    <row r="27" spans="1:4" ht="13.5" thickBot="1">
      <c r="B27" s="300">
        <v>2400</v>
      </c>
      <c r="D27" s="294" t="s">
        <v>393</v>
      </c>
    </row>
    <row r="28" spans="1:4" ht="13.5" thickBot="1">
      <c r="B28" s="34"/>
    </row>
    <row r="29" spans="1:4" ht="13.5" thickBot="1">
      <c r="B29" s="300">
        <v>12000</v>
      </c>
      <c r="D29" s="294" t="s">
        <v>394</v>
      </c>
    </row>
    <row r="30" spans="1:4" ht="13.5" thickBot="1">
      <c r="B30" s="34"/>
    </row>
    <row r="31" spans="1:4" ht="13.5" thickBot="1">
      <c r="B31" s="300">
        <v>6900</v>
      </c>
      <c r="D31" s="294" t="s">
        <v>395</v>
      </c>
    </row>
    <row r="33" spans="1:4">
      <c r="D33" s="293"/>
    </row>
    <row r="34" spans="1:4" ht="13.5" thickBot="1">
      <c r="A34" s="293" t="s">
        <v>396</v>
      </c>
    </row>
    <row r="35" spans="1:4" ht="18" customHeight="1" thickBot="1">
      <c r="B35" s="299">
        <v>4.2500000000000003E-2</v>
      </c>
      <c r="D35" s="294" t="s">
        <v>397</v>
      </c>
    </row>
  </sheetData>
  <phoneticPr fontId="3" type="noConversion"/>
  <pageMargins left="0.75" right="0.75" top="1" bottom="1" header="0.5" footer="0.5"/>
  <pageSetup scale="9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11" sqref="A11"/>
    </sheetView>
  </sheetViews>
  <sheetFormatPr defaultRowHeight="11.25"/>
  <cols>
    <col min="1" max="1" width="6.7109375" style="305" customWidth="1"/>
    <col min="2" max="2" width="35.5703125" style="305" customWidth="1"/>
    <col min="3" max="3" width="10" style="306" customWidth="1"/>
    <col min="4" max="4" width="14.85546875" style="307" customWidth="1"/>
    <col min="5" max="16384" width="9.140625" style="305"/>
  </cols>
  <sheetData>
    <row r="1" spans="1:11" ht="20.25">
      <c r="A1" s="304" t="s">
        <v>477</v>
      </c>
    </row>
    <row r="2" spans="1:11" ht="15.75">
      <c r="A2" s="282" t="s">
        <v>478</v>
      </c>
      <c r="G2" s="305" t="s">
        <v>416</v>
      </c>
      <c r="K2" s="305">
        <v>1</v>
      </c>
    </row>
    <row r="3" spans="1:11" ht="15.75">
      <c r="A3" s="282"/>
    </row>
    <row r="4" spans="1:11" ht="12">
      <c r="D4" s="308"/>
    </row>
    <row r="5" spans="1:11" ht="12">
      <c r="A5" s="309"/>
      <c r="B5" s="309"/>
      <c r="C5" s="310"/>
      <c r="D5" s="308" t="s">
        <v>300</v>
      </c>
    </row>
    <row r="6" spans="1:11" ht="12">
      <c r="A6" s="309"/>
      <c r="B6" s="309"/>
      <c r="C6" s="310" t="s">
        <v>417</v>
      </c>
      <c r="D6" s="311" t="s">
        <v>418</v>
      </c>
    </row>
    <row r="7" spans="1:11" ht="12">
      <c r="A7" s="309" t="s">
        <v>419</v>
      </c>
      <c r="B7" s="309" t="s">
        <v>420</v>
      </c>
      <c r="C7" s="310" t="s">
        <v>421</v>
      </c>
      <c r="D7" s="311" t="s">
        <v>422</v>
      </c>
    </row>
    <row r="9" spans="1:11">
      <c r="B9" s="312" t="s">
        <v>423</v>
      </c>
    </row>
    <row r="10" spans="1:11">
      <c r="A10" s="313">
        <v>100164</v>
      </c>
      <c r="B10" s="305" t="s">
        <v>424</v>
      </c>
      <c r="C10" s="306">
        <f>0.48*$K$2</f>
        <v>0.48</v>
      </c>
      <c r="D10" s="307">
        <f>C10*$C$41</f>
        <v>480</v>
      </c>
    </row>
    <row r="11" spans="1:11">
      <c r="A11" s="313">
        <v>100166</v>
      </c>
      <c r="B11" s="305" t="s">
        <v>425</v>
      </c>
      <c r="C11" s="306">
        <f>0.84*K2</f>
        <v>0.84</v>
      </c>
      <c r="D11" s="307">
        <f>C11*$C$41</f>
        <v>840</v>
      </c>
    </row>
    <row r="12" spans="1:11">
      <c r="A12" s="313">
        <v>100182</v>
      </c>
      <c r="B12" s="305" t="s">
        <v>426</v>
      </c>
      <c r="C12" s="306">
        <f>0.36*K2</f>
        <v>0.36</v>
      </c>
      <c r="D12" s="307">
        <f>C12*$C$41</f>
        <v>360</v>
      </c>
    </row>
    <row r="13" spans="1:11">
      <c r="A13" s="313">
        <v>100186</v>
      </c>
      <c r="B13" s="305" t="s">
        <v>427</v>
      </c>
      <c r="C13" s="306">
        <f>0.6*K2</f>
        <v>0.6</v>
      </c>
      <c r="D13" s="307">
        <f>C13*$C$41</f>
        <v>600</v>
      </c>
    </row>
    <row r="14" spans="1:11">
      <c r="A14" s="313">
        <v>100193</v>
      </c>
      <c r="B14" s="305" t="s">
        <v>428</v>
      </c>
      <c r="C14" s="314">
        <v>37.5</v>
      </c>
      <c r="D14" s="307">
        <f>C14*$C$41</f>
        <v>37500</v>
      </c>
    </row>
    <row r="15" spans="1:11">
      <c r="A15" s="313"/>
      <c r="B15" s="312" t="s">
        <v>429</v>
      </c>
      <c r="C15" s="315">
        <f>SUM(C10:C14)</f>
        <v>39.78</v>
      </c>
      <c r="D15" s="316">
        <f>SUM(D10:D14)</f>
        <v>39780</v>
      </c>
    </row>
    <row r="16" spans="1:11">
      <c r="A16" s="313"/>
    </row>
    <row r="17" spans="1:4">
      <c r="A17" s="313"/>
      <c r="B17" s="312" t="s">
        <v>430</v>
      </c>
    </row>
    <row r="18" spans="1:4">
      <c r="A18" s="313">
        <v>100150</v>
      </c>
      <c r="B18" s="305" t="s">
        <v>431</v>
      </c>
      <c r="C18" s="306">
        <v>0</v>
      </c>
      <c r="D18" s="307">
        <f>50*12</f>
        <v>600</v>
      </c>
    </row>
    <row r="19" spans="1:4">
      <c r="A19" s="313">
        <v>100152</v>
      </c>
      <c r="B19" s="305" t="s">
        <v>432</v>
      </c>
      <c r="C19" s="306">
        <v>0</v>
      </c>
      <c r="D19" s="307">
        <f>25*12</f>
        <v>300</v>
      </c>
    </row>
    <row r="20" spans="1:4">
      <c r="A20" s="313">
        <v>100155</v>
      </c>
      <c r="B20" s="305" t="s">
        <v>433</v>
      </c>
      <c r="C20" s="306">
        <v>0</v>
      </c>
      <c r="D20" s="307">
        <v>0</v>
      </c>
    </row>
    <row r="21" spans="1:4">
      <c r="A21" s="313">
        <v>100169</v>
      </c>
      <c r="B21" s="305" t="s">
        <v>434</v>
      </c>
      <c r="C21" s="306">
        <v>0</v>
      </c>
      <c r="D21" s="307">
        <f>500*4</f>
        <v>2000</v>
      </c>
    </row>
    <row r="22" spans="1:4">
      <c r="A22" s="313">
        <v>100171</v>
      </c>
      <c r="B22" s="305" t="s">
        <v>435</v>
      </c>
      <c r="C22" s="306">
        <v>0</v>
      </c>
      <c r="D22" s="307">
        <v>0</v>
      </c>
    </row>
    <row r="23" spans="1:4">
      <c r="A23" s="313">
        <v>100187</v>
      </c>
      <c r="B23" s="305" t="s">
        <v>436</v>
      </c>
      <c r="C23" s="306">
        <v>0</v>
      </c>
      <c r="D23" s="307">
        <f>3*12</f>
        <v>36</v>
      </c>
    </row>
    <row r="24" spans="1:4">
      <c r="A24" s="313">
        <v>100188</v>
      </c>
      <c r="B24" s="305" t="s">
        <v>437</v>
      </c>
      <c r="C24" s="306">
        <v>0</v>
      </c>
      <c r="D24" s="307">
        <v>0</v>
      </c>
    </row>
    <row r="25" spans="1:4">
      <c r="A25" s="313">
        <v>100191</v>
      </c>
      <c r="B25" s="305" t="s">
        <v>438</v>
      </c>
      <c r="C25" s="306">
        <v>0</v>
      </c>
      <c r="D25" s="307">
        <v>0</v>
      </c>
    </row>
    <row r="26" spans="1:4">
      <c r="A26" s="313">
        <v>100196</v>
      </c>
      <c r="B26" s="305" t="s">
        <v>439</v>
      </c>
      <c r="C26" s="306">
        <v>0</v>
      </c>
      <c r="D26" s="307">
        <f>55.76*10</f>
        <v>557.6</v>
      </c>
    </row>
    <row r="27" spans="1:4">
      <c r="A27" s="313"/>
      <c r="B27" s="312" t="s">
        <v>429</v>
      </c>
      <c r="C27" s="315">
        <f>SUM(C18:C26)</f>
        <v>0</v>
      </c>
      <c r="D27" s="316">
        <f>SUM(D18:D26)</f>
        <v>3493.6</v>
      </c>
    </row>
    <row r="28" spans="1:4">
      <c r="A28" s="313"/>
    </row>
    <row r="29" spans="1:4">
      <c r="A29" s="313"/>
      <c r="B29" s="312" t="s">
        <v>440</v>
      </c>
    </row>
    <row r="30" spans="1:4">
      <c r="A30" s="313">
        <v>100158</v>
      </c>
      <c r="B30" s="305" t="s">
        <v>441</v>
      </c>
      <c r="C30" s="306">
        <f>45*K2</f>
        <v>45</v>
      </c>
      <c r="D30" s="307">
        <f>C30*$C$43</f>
        <v>450</v>
      </c>
    </row>
    <row r="31" spans="1:4">
      <c r="A31" s="313">
        <v>100159</v>
      </c>
      <c r="B31" s="305" t="s">
        <v>442</v>
      </c>
      <c r="C31" s="306">
        <f>172.08*K2</f>
        <v>172.08</v>
      </c>
      <c r="D31" s="307">
        <f>C31*$C$43</f>
        <v>1720.8000000000002</v>
      </c>
    </row>
    <row r="32" spans="1:4">
      <c r="A32" s="313">
        <v>100192</v>
      </c>
      <c r="B32" s="305" t="s">
        <v>443</v>
      </c>
      <c r="C32" s="306">
        <f>240*K2</f>
        <v>240</v>
      </c>
      <c r="D32" s="307">
        <f>C32*$C$43</f>
        <v>2400</v>
      </c>
    </row>
    <row r="33" spans="1:4">
      <c r="A33" s="313"/>
      <c r="B33" s="312" t="s">
        <v>429</v>
      </c>
      <c r="C33" s="315">
        <f>SUM(C30:C32)</f>
        <v>457.08000000000004</v>
      </c>
      <c r="D33" s="316">
        <f>SUM(D30:D32)</f>
        <v>4570.8</v>
      </c>
    </row>
    <row r="34" spans="1:4">
      <c r="A34" s="313"/>
    </row>
    <row r="35" spans="1:4">
      <c r="A35" s="313"/>
      <c r="B35" s="312" t="s">
        <v>444</v>
      </c>
    </row>
    <row r="36" spans="1:4">
      <c r="A36" s="313">
        <v>100154</v>
      </c>
      <c r="B36" s="305" t="s">
        <v>445</v>
      </c>
      <c r="C36" s="306">
        <v>0</v>
      </c>
      <c r="D36" s="307">
        <f>50*12</f>
        <v>600</v>
      </c>
    </row>
    <row r="37" spans="1:4">
      <c r="A37" s="313">
        <v>100156</v>
      </c>
      <c r="B37" s="305" t="s">
        <v>446</v>
      </c>
      <c r="C37" s="306">
        <v>0</v>
      </c>
      <c r="D37" s="307">
        <v>0</v>
      </c>
    </row>
    <row r="38" spans="1:4">
      <c r="A38" s="313"/>
      <c r="B38" s="312" t="s">
        <v>429</v>
      </c>
      <c r="C38" s="315">
        <f>+C36+C37</f>
        <v>0</v>
      </c>
      <c r="D38" s="316">
        <f>+D36+D37</f>
        <v>600</v>
      </c>
    </row>
    <row r="39" spans="1:4" ht="12" thickBot="1">
      <c r="A39" s="313"/>
      <c r="B39" s="312" t="s">
        <v>447</v>
      </c>
      <c r="D39" s="317">
        <f>+D15+D27+D33+D38</f>
        <v>48444.4</v>
      </c>
    </row>
    <row r="40" spans="1:4" ht="12.75" thickTop="1" thickBot="1">
      <c r="D40" s="318"/>
    </row>
    <row r="41" spans="1:4">
      <c r="A41" s="305" t="s">
        <v>448</v>
      </c>
      <c r="B41" s="319" t="s">
        <v>476</v>
      </c>
      <c r="C41" s="306">
        <v>1000</v>
      </c>
      <c r="D41" s="320"/>
    </row>
    <row r="42" spans="1:4">
      <c r="B42" s="321"/>
    </row>
    <row r="43" spans="1:4" ht="12" thickBot="1">
      <c r="B43" s="322" t="s">
        <v>475</v>
      </c>
      <c r="C43" s="306">
        <v>10</v>
      </c>
    </row>
    <row r="45" spans="1:4">
      <c r="D45" s="318"/>
    </row>
    <row r="46" spans="1:4">
      <c r="D46" s="318"/>
    </row>
    <row r="48" spans="1:4">
      <c r="B48" s="312" t="s">
        <v>449</v>
      </c>
    </row>
    <row r="49" spans="2:2">
      <c r="B49" s="305" t="s">
        <v>450</v>
      </c>
    </row>
    <row r="50" spans="2:2">
      <c r="B50" s="305" t="s">
        <v>451</v>
      </c>
    </row>
    <row r="51" spans="2:2">
      <c r="B51" s="305" t="s">
        <v>452</v>
      </c>
    </row>
    <row r="52" spans="2:2">
      <c r="B52" s="305" t="s">
        <v>453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I30" sqref="I30"/>
    </sheetView>
  </sheetViews>
  <sheetFormatPr defaultRowHeight="12.75"/>
  <cols>
    <col min="1" max="1" width="3.85546875" customWidth="1"/>
    <col min="2" max="2" width="61" customWidth="1"/>
    <col min="3" max="3" width="3.140625" style="347" customWidth="1"/>
    <col min="4" max="4" width="15.7109375" customWidth="1"/>
    <col min="5" max="5" width="3.5703125" style="347" customWidth="1"/>
    <col min="6" max="6" width="15.7109375" customWidth="1"/>
    <col min="7" max="7" width="3.5703125" style="347" customWidth="1"/>
    <col min="8" max="8" width="15.7109375" customWidth="1"/>
  </cols>
  <sheetData>
    <row r="1" spans="1:8" ht="15.75">
      <c r="A1" s="336" t="s">
        <v>480</v>
      </c>
      <c r="C1" s="337"/>
      <c r="E1" s="337"/>
      <c r="G1" s="337"/>
    </row>
    <row r="2" spans="1:8" ht="15.75">
      <c r="A2" s="282" t="s">
        <v>502</v>
      </c>
      <c r="C2" s="337"/>
      <c r="E2" s="337"/>
      <c r="G2" s="337"/>
    </row>
    <row r="3" spans="1:8">
      <c r="C3" s="338"/>
      <c r="E3" s="338"/>
      <c r="G3" s="338"/>
    </row>
    <row r="4" spans="1:8" ht="13.5" thickBot="1">
      <c r="A4" s="95"/>
      <c r="B4" s="95"/>
      <c r="C4" s="339"/>
      <c r="D4" s="340" t="s">
        <v>481</v>
      </c>
      <c r="E4" s="339"/>
      <c r="F4" s="340" t="s">
        <v>208</v>
      </c>
      <c r="G4" s="339"/>
      <c r="H4" s="80" t="s">
        <v>204</v>
      </c>
    </row>
    <row r="5" spans="1:8" ht="5.25" customHeight="1">
      <c r="A5" s="95"/>
      <c r="B5" s="95"/>
      <c r="C5" s="338"/>
      <c r="D5" s="95"/>
      <c r="E5" s="338"/>
      <c r="F5" s="95"/>
      <c r="G5" s="338"/>
    </row>
    <row r="6" spans="1:8">
      <c r="A6" s="95" t="s">
        <v>482</v>
      </c>
      <c r="B6" s="95"/>
      <c r="C6" s="341" t="s">
        <v>307</v>
      </c>
      <c r="D6" s="95">
        <v>0</v>
      </c>
      <c r="E6" s="341" t="s">
        <v>307</v>
      </c>
      <c r="F6" s="342"/>
      <c r="G6" s="341" t="s">
        <v>307</v>
      </c>
      <c r="H6" s="95">
        <f t="shared" ref="H6:H11" si="0">F6-D6</f>
        <v>0</v>
      </c>
    </row>
    <row r="7" spans="1:8">
      <c r="A7" s="95" t="s">
        <v>483</v>
      </c>
      <c r="B7" s="95"/>
      <c r="C7" s="341"/>
      <c r="D7" s="95">
        <v>151909</v>
      </c>
      <c r="E7" s="341"/>
      <c r="F7" s="95"/>
      <c r="G7" s="341"/>
      <c r="H7" s="95">
        <f t="shared" si="0"/>
        <v>-151909</v>
      </c>
    </row>
    <row r="8" spans="1:8">
      <c r="A8" s="95" t="s">
        <v>484</v>
      </c>
      <c r="B8" s="95"/>
      <c r="C8" s="341"/>
      <c r="D8" s="95">
        <v>0</v>
      </c>
      <c r="E8" s="341"/>
      <c r="F8" s="95"/>
      <c r="G8" s="341"/>
      <c r="H8" s="95">
        <f t="shared" si="0"/>
        <v>0</v>
      </c>
    </row>
    <row r="9" spans="1:8">
      <c r="A9" s="95" t="s">
        <v>485</v>
      </c>
      <c r="B9" s="95"/>
      <c r="C9" s="341"/>
      <c r="D9" s="95">
        <v>0</v>
      </c>
      <c r="E9" s="341"/>
      <c r="F9" s="95"/>
      <c r="G9" s="341"/>
      <c r="H9" s="95">
        <f t="shared" si="0"/>
        <v>0</v>
      </c>
    </row>
    <row r="10" spans="1:8">
      <c r="A10" s="95" t="s">
        <v>486</v>
      </c>
      <c r="B10" s="95"/>
      <c r="C10" s="341"/>
      <c r="D10" s="95">
        <v>0</v>
      </c>
      <c r="E10" s="341"/>
      <c r="F10" s="95"/>
      <c r="G10" s="341"/>
      <c r="H10" s="95">
        <f t="shared" si="0"/>
        <v>0</v>
      </c>
    </row>
    <row r="11" spans="1:8">
      <c r="A11" s="95" t="s">
        <v>383</v>
      </c>
      <c r="B11" s="95"/>
      <c r="C11" s="341"/>
      <c r="D11" s="104">
        <v>0</v>
      </c>
      <c r="E11" s="341"/>
      <c r="F11" s="104"/>
      <c r="G11" s="341"/>
      <c r="H11" s="104">
        <f t="shared" si="0"/>
        <v>0</v>
      </c>
    </row>
    <row r="12" spans="1:8" ht="8.25" customHeight="1">
      <c r="A12" s="95"/>
      <c r="B12" s="95"/>
      <c r="C12" s="341"/>
      <c r="D12" s="95"/>
      <c r="E12" s="341"/>
      <c r="F12" s="95"/>
      <c r="G12" s="341"/>
    </row>
    <row r="13" spans="1:8" s="24" customFormat="1">
      <c r="A13" s="146" t="s">
        <v>487</v>
      </c>
      <c r="B13" s="146"/>
      <c r="C13" s="344" t="s">
        <v>307</v>
      </c>
      <c r="D13" s="146">
        <f>SUM(D6:D12)</f>
        <v>151909</v>
      </c>
      <c r="E13" s="344" t="s">
        <v>307</v>
      </c>
      <c r="F13" s="146">
        <f>SUM(F6:F12)</f>
        <v>0</v>
      </c>
      <c r="G13" s="344" t="s">
        <v>307</v>
      </c>
      <c r="H13" s="146">
        <f>SUM(H6:H12)</f>
        <v>-151909</v>
      </c>
    </row>
    <row r="14" spans="1:8">
      <c r="A14" s="146"/>
      <c r="B14" s="95"/>
      <c r="C14" s="344"/>
      <c r="D14" s="343"/>
      <c r="E14" s="344"/>
      <c r="F14" s="343"/>
      <c r="G14" s="344"/>
      <c r="H14" s="343"/>
    </row>
    <row r="15" spans="1:8">
      <c r="A15" s="289" t="s">
        <v>183</v>
      </c>
      <c r="B15" s="95"/>
      <c r="C15" s="344"/>
      <c r="D15" s="345">
        <v>0</v>
      </c>
      <c r="E15" s="344"/>
      <c r="F15" s="346">
        <v>0</v>
      </c>
      <c r="G15" s="344"/>
      <c r="H15" s="345">
        <f>D15-F15</f>
        <v>0</v>
      </c>
    </row>
    <row r="16" spans="1:8" ht="6.75" customHeight="1">
      <c r="A16" s="146"/>
      <c r="B16" s="95"/>
      <c r="C16" s="341"/>
      <c r="D16" s="343"/>
      <c r="E16" s="341"/>
      <c r="F16" s="343"/>
      <c r="G16" s="341"/>
      <c r="H16" s="343"/>
    </row>
    <row r="17" spans="1:8" s="24" customFormat="1">
      <c r="A17" s="146" t="s">
        <v>488</v>
      </c>
      <c r="B17" s="146"/>
      <c r="C17" s="344" t="s">
        <v>307</v>
      </c>
      <c r="D17" s="146">
        <f>D13-D15</f>
        <v>151909</v>
      </c>
      <c r="E17" s="344" t="s">
        <v>307</v>
      </c>
      <c r="F17" s="146">
        <f>F13-F15</f>
        <v>0</v>
      </c>
      <c r="G17" s="344" t="s">
        <v>307</v>
      </c>
      <c r="H17" s="146">
        <f>H13-H15</f>
        <v>-151909</v>
      </c>
    </row>
    <row r="18" spans="1:8">
      <c r="A18" s="95"/>
      <c r="B18" s="95"/>
      <c r="C18" s="341"/>
      <c r="D18" s="95"/>
      <c r="E18" s="341"/>
      <c r="F18" s="95"/>
      <c r="G18" s="341"/>
    </row>
    <row r="19" spans="1:8">
      <c r="A19" s="95" t="s">
        <v>308</v>
      </c>
      <c r="B19" s="95"/>
      <c r="C19" s="341"/>
      <c r="D19" s="96">
        <f>'Detail Breakdown'!D14/1000</f>
        <v>812.31600000000014</v>
      </c>
      <c r="E19" s="341"/>
      <c r="F19" s="96">
        <f>'Detail Breakdown'!F14/1000</f>
        <v>915.46400000000006</v>
      </c>
      <c r="G19" s="341"/>
      <c r="H19" s="95">
        <f>D19-F19</f>
        <v>-103.14799999999991</v>
      </c>
    </row>
    <row r="20" spans="1:8">
      <c r="A20" s="95" t="s">
        <v>489</v>
      </c>
      <c r="B20" s="95"/>
      <c r="C20" s="341"/>
      <c r="D20" s="95">
        <f>'Detail Breakdown'!D28/1000</f>
        <v>84.692571428571426</v>
      </c>
      <c r="E20" s="341"/>
      <c r="F20" s="95">
        <f>'Detail Breakdown'!F28/1000</f>
        <v>105</v>
      </c>
      <c r="G20" s="341"/>
      <c r="H20" s="95">
        <f t="shared" ref="H20:H31" si="1">D20-F20</f>
        <v>-20.307428571428574</v>
      </c>
    </row>
    <row r="21" spans="1:8">
      <c r="A21" s="95" t="s">
        <v>490</v>
      </c>
      <c r="B21" s="95"/>
      <c r="C21" s="341"/>
      <c r="D21" s="96">
        <f>'Detail Breakdown'!D38/1000</f>
        <v>32.247428571428571</v>
      </c>
      <c r="E21" s="341"/>
      <c r="F21" s="96">
        <f>'Detail Breakdown'!F38/1000</f>
        <v>55</v>
      </c>
      <c r="G21" s="341"/>
      <c r="H21" s="95">
        <f t="shared" si="1"/>
        <v>-22.752571428571429</v>
      </c>
    </row>
    <row r="22" spans="1:8">
      <c r="A22" s="95" t="s">
        <v>333</v>
      </c>
      <c r="B22" s="95"/>
      <c r="C22" s="341"/>
      <c r="D22" s="96">
        <f>'Detail Breakdown'!D51/1000</f>
        <v>2.7411428571428571</v>
      </c>
      <c r="E22" s="341"/>
      <c r="F22" s="96">
        <f>'Detail Breakdown'!F51/1000</f>
        <v>5</v>
      </c>
      <c r="G22" s="341"/>
      <c r="H22" s="95">
        <f t="shared" si="1"/>
        <v>-2.2588571428571429</v>
      </c>
    </row>
    <row r="23" spans="1:8">
      <c r="A23" s="95" t="s">
        <v>342</v>
      </c>
      <c r="B23" s="95"/>
      <c r="C23" s="344"/>
      <c r="D23" s="96">
        <f>'Detail Breakdown'!D62/1000</f>
        <v>36.675428571428576</v>
      </c>
      <c r="E23" s="344"/>
      <c r="F23" s="96">
        <f>'Detail Breakdown'!F62/1000</f>
        <v>90.6</v>
      </c>
      <c r="G23" s="344"/>
      <c r="H23" s="95">
        <f t="shared" si="1"/>
        <v>-53.924571428571419</v>
      </c>
    </row>
    <row r="24" spans="1:8">
      <c r="A24" s="95" t="s">
        <v>350</v>
      </c>
      <c r="B24" s="95"/>
      <c r="C24" s="341"/>
      <c r="D24" s="96">
        <f>'Detail Breakdown'!D73/1000</f>
        <v>719.82342857142851</v>
      </c>
      <c r="E24" s="341"/>
      <c r="F24" s="96">
        <f>'Detail Breakdown'!F73/1000</f>
        <v>820</v>
      </c>
      <c r="G24" s="341"/>
      <c r="H24" s="95">
        <f t="shared" si="1"/>
        <v>-100.17657142857149</v>
      </c>
    </row>
    <row r="25" spans="1:8">
      <c r="A25" s="95" t="s">
        <v>352</v>
      </c>
      <c r="B25" s="95"/>
      <c r="D25" s="96">
        <f>'Detail Breakdown'!D82/1000</f>
        <v>1402.4588571428574</v>
      </c>
      <c r="F25" s="96">
        <f>'Detail Breakdown'!F82/1000</f>
        <v>1397</v>
      </c>
      <c r="H25" s="95">
        <f t="shared" si="1"/>
        <v>5.4588571428573687</v>
      </c>
    </row>
    <row r="26" spans="1:8">
      <c r="A26" s="95" t="s">
        <v>360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1"/>
        <v>0</v>
      </c>
    </row>
    <row r="27" spans="1:8">
      <c r="A27" s="289" t="s">
        <v>501</v>
      </c>
      <c r="B27" s="95"/>
      <c r="D27" s="96">
        <f>'Detail Breakdown'!D87/1000</f>
        <v>155.60400000000001</v>
      </c>
      <c r="F27" s="96">
        <f>'Detail Breakdown'!F87/1000</f>
        <v>392.4</v>
      </c>
      <c r="H27" s="95">
        <f t="shared" si="1"/>
        <v>-236.79599999999996</v>
      </c>
    </row>
    <row r="28" spans="1:8">
      <c r="A28" s="95" t="s">
        <v>363</v>
      </c>
      <c r="B28" s="95"/>
      <c r="D28" s="348">
        <f>'Detail Breakdown'!D96/1000</f>
        <v>6.8880000000000008</v>
      </c>
      <c r="F28" s="348">
        <f>'Detail Breakdown'!F96/1000</f>
        <v>6</v>
      </c>
      <c r="H28" s="95">
        <f t="shared" si="1"/>
        <v>0.88800000000000079</v>
      </c>
    </row>
    <row r="29" spans="1:8">
      <c r="A29" s="95" t="s">
        <v>369</v>
      </c>
      <c r="B29" s="95"/>
      <c r="D29" s="96">
        <f>'Detail Breakdown'!D99/1000</f>
        <v>0</v>
      </c>
      <c r="F29" s="96">
        <f>'Detail Breakdown'!F99/1000</f>
        <v>50</v>
      </c>
      <c r="H29" s="95">
        <f t="shared" si="1"/>
        <v>-50</v>
      </c>
    </row>
    <row r="30" spans="1:8">
      <c r="A30" s="95" t="s">
        <v>371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1"/>
        <v>0</v>
      </c>
    </row>
    <row r="31" spans="1:8">
      <c r="A31" s="95" t="s">
        <v>373</v>
      </c>
      <c r="B31" s="95"/>
      <c r="D31" s="104">
        <f>'Detail Breakdown'!D107/1000</f>
        <v>0</v>
      </c>
      <c r="F31" s="104">
        <f>'Detail Breakdown'!F107/1000</f>
        <v>0</v>
      </c>
      <c r="H31" s="104">
        <f t="shared" si="1"/>
        <v>0</v>
      </c>
    </row>
    <row r="32" spans="1:8" ht="5.25" customHeight="1">
      <c r="A32" s="95"/>
      <c r="B32" s="95"/>
      <c r="D32" s="95"/>
      <c r="F32" s="95"/>
    </row>
    <row r="33" spans="1:8" s="24" customFormat="1">
      <c r="A33" s="146" t="s">
        <v>191</v>
      </c>
      <c r="B33" s="146"/>
      <c r="C33" s="344" t="s">
        <v>307</v>
      </c>
      <c r="D33" s="351">
        <f>SUM(D19:D32)</f>
        <v>3253.4468571428574</v>
      </c>
      <c r="E33" s="344" t="s">
        <v>307</v>
      </c>
      <c r="F33" s="351">
        <f>SUM(F19:F32)</f>
        <v>3836.4639999999999</v>
      </c>
      <c r="G33" s="344" t="s">
        <v>307</v>
      </c>
      <c r="H33" s="351">
        <f>SUM(H19:H32)</f>
        <v>-583.01714285714252</v>
      </c>
    </row>
    <row r="34" spans="1:8" ht="6.75" customHeight="1">
      <c r="A34" s="95"/>
      <c r="B34" s="95"/>
      <c r="D34" s="95"/>
      <c r="F34" s="96"/>
      <c r="H34" s="22"/>
    </row>
    <row r="35" spans="1:8" s="24" customFormat="1" ht="13.5" thickBot="1">
      <c r="A35" s="146" t="s">
        <v>491</v>
      </c>
      <c r="B35" s="146"/>
      <c r="C35" s="344" t="s">
        <v>307</v>
      </c>
      <c r="D35" s="352">
        <f>D17-D33</f>
        <v>148655.55314285716</v>
      </c>
      <c r="E35" s="344" t="s">
        <v>307</v>
      </c>
      <c r="F35" s="352">
        <f>F17-F33</f>
        <v>-3836.4639999999999</v>
      </c>
      <c r="G35" s="344" t="s">
        <v>307</v>
      </c>
      <c r="H35" s="352">
        <f>H17-H33</f>
        <v>-151325.98285714287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5">
        <v>2</v>
      </c>
      <c r="E39" s="350"/>
      <c r="F39" s="355">
        <v>2</v>
      </c>
      <c r="H39" s="96">
        <f>F39-D39</f>
        <v>0</v>
      </c>
    </row>
    <row r="40" spans="1:8">
      <c r="A40" s="95" t="s">
        <v>492</v>
      </c>
      <c r="B40" s="95"/>
      <c r="D40" s="96">
        <v>0</v>
      </c>
      <c r="E40" s="350"/>
      <c r="F40" s="96">
        <v>0</v>
      </c>
      <c r="H40" s="96">
        <f>F40-D40</f>
        <v>0</v>
      </c>
    </row>
    <row r="41" spans="1:8">
      <c r="A41" s="95" t="s">
        <v>207</v>
      </c>
      <c r="B41" s="95"/>
      <c r="D41" s="355">
        <v>1</v>
      </c>
      <c r="E41" s="350"/>
      <c r="F41" s="355">
        <v>4</v>
      </c>
      <c r="H41" s="350">
        <f>F41-D41</f>
        <v>3</v>
      </c>
    </row>
    <row r="42" spans="1:8">
      <c r="A42" s="95" t="s">
        <v>493</v>
      </c>
      <c r="B42" s="95"/>
      <c r="D42" s="355">
        <f>2+1</f>
        <v>3</v>
      </c>
      <c r="E42" s="350"/>
      <c r="F42" s="355">
        <f>2+1</f>
        <v>3</v>
      </c>
      <c r="H42" s="96">
        <f>F42-D42</f>
        <v>0</v>
      </c>
    </row>
    <row r="43" spans="1:8">
      <c r="A43" s="95" t="s">
        <v>494</v>
      </c>
      <c r="B43" s="95"/>
      <c r="D43" s="356">
        <v>1</v>
      </c>
      <c r="E43" s="350"/>
      <c r="F43" s="356">
        <v>1</v>
      </c>
      <c r="H43" s="166">
        <f>F43-D43</f>
        <v>0</v>
      </c>
    </row>
    <row r="44" spans="1:8" ht="4.5" customHeight="1">
      <c r="A44" s="145"/>
      <c r="B44" s="145"/>
      <c r="D44" s="357"/>
      <c r="E44" s="350"/>
      <c r="F44" s="357"/>
      <c r="H44" s="357"/>
    </row>
    <row r="45" spans="1:8" s="24" customFormat="1" ht="13.5" thickBot="1">
      <c r="A45" s="146" t="s">
        <v>495</v>
      </c>
      <c r="B45" s="146"/>
      <c r="C45" s="353"/>
      <c r="D45" s="358">
        <f>SUM(D39:D44)</f>
        <v>7</v>
      </c>
      <c r="E45" s="354"/>
      <c r="F45" s="358">
        <f>SUM(F39:F44)</f>
        <v>10</v>
      </c>
      <c r="G45" s="353"/>
      <c r="H45" s="358">
        <f>SUM(H39:H44)</f>
        <v>3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496</v>
      </c>
      <c r="B47" s="95"/>
      <c r="D47" s="340" t="s">
        <v>497</v>
      </c>
      <c r="F47" s="340" t="s">
        <v>498</v>
      </c>
    </row>
    <row r="48" spans="1:8">
      <c r="A48" s="349" t="s">
        <v>503</v>
      </c>
      <c r="B48" s="95"/>
      <c r="C48" s="341" t="s">
        <v>307</v>
      </c>
      <c r="D48" s="95">
        <f>(F19+F20+F23+F27)/F45</f>
        <v>150.34639999999999</v>
      </c>
      <c r="E48" s="341" t="s">
        <v>307</v>
      </c>
    </row>
    <row r="49" spans="1:6">
      <c r="A49" s="349" t="s">
        <v>499</v>
      </c>
      <c r="B49" s="95"/>
      <c r="C49" s="341" t="s">
        <v>307</v>
      </c>
      <c r="D49" s="95">
        <f>F35/F45</f>
        <v>-383.64639999999997</v>
      </c>
      <c r="E49" s="341" t="s">
        <v>307</v>
      </c>
    </row>
    <row r="50" spans="1:6">
      <c r="A50" s="349" t="s">
        <v>500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ExpComp</vt:lpstr>
      <vt:lpstr>2001 Headcount</vt:lpstr>
      <vt:lpstr>Cost rates</vt:lpstr>
      <vt:lpstr>Assumptions</vt:lpstr>
      <vt:lpstr>Detail Breakdown</vt:lpstr>
      <vt:lpstr>Headcount Assumptions</vt:lpstr>
      <vt:lpstr>Assumptions (2)</vt:lpstr>
      <vt:lpstr>EPSC</vt:lpstr>
      <vt:lpstr>Income Statement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Felienne</cp:lastModifiedBy>
  <cp:lastPrinted>2001-09-24T23:24:53Z</cp:lastPrinted>
  <dcterms:created xsi:type="dcterms:W3CDTF">1998-08-24T18:19:19Z</dcterms:created>
  <dcterms:modified xsi:type="dcterms:W3CDTF">2014-09-05T11:13:12Z</dcterms:modified>
</cp:coreProperties>
</file>