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Expenses-YTD Aug 2001" sheetId="1" r:id="rId1"/>
    <sheet name="Expenses-Sep-Dec 2001" sheetId="2" r:id="rId2"/>
    <sheet name="Total Year Estimate" sheetId="3" r:id="rId3"/>
  </sheets>
  <externalReferences>
    <externalReference r:id="rId4"/>
  </externalReferences>
  <definedNames>
    <definedName name="CASH_ORIG">#REF!</definedName>
    <definedName name="CASH_PLAN">#REF!</definedName>
    <definedName name="CASH_YTD">#REF!</definedName>
    <definedName name="CORP_COST_DETAIL">'[1]O&amp;M and Other'!$A$1:$AI$93</definedName>
    <definedName name="INC_ORIG">#REF!</definedName>
    <definedName name="INC_PLAN">#REF!</definedName>
    <definedName name="INC_YTD">#REF!</definedName>
    <definedName name="OBLIGATIONS">#REF!</definedName>
    <definedName name="_xlnm.Print_Area" localSheetId="1">'Expenses-Sep-Dec 2001'!$A$1:$AM$66</definedName>
    <definedName name="_xlnm.Print_Area" localSheetId="0">'Expenses-YTD Aug 2001'!$A$1:$AM$66</definedName>
    <definedName name="_xlnm.Print_Area" localSheetId="2">'Total Year Estimate'!$A$1:$AM$66</definedName>
  </definedNames>
  <calcPr calcId="152511"/>
</workbook>
</file>

<file path=xl/calcChain.xml><?xml version="1.0" encoding="utf-8"?>
<calcChain xmlns="http://schemas.openxmlformats.org/spreadsheetml/2006/main">
  <c r="C9" i="2" l="1"/>
  <c r="C10" i="2"/>
  <c r="C11" i="2"/>
  <c r="C32" i="2" s="1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E32" i="2"/>
  <c r="G32" i="2"/>
  <c r="I32" i="2"/>
  <c r="K32" i="2"/>
  <c r="M32" i="2"/>
  <c r="O32" i="2"/>
  <c r="Q32" i="2"/>
  <c r="S32" i="2"/>
  <c r="U32" i="2"/>
  <c r="W32" i="2"/>
  <c r="Y32" i="2"/>
  <c r="AA32" i="2"/>
  <c r="AC32" i="2"/>
  <c r="AE32" i="2"/>
  <c r="AG32" i="2"/>
  <c r="AI32" i="2"/>
  <c r="AK32" i="2"/>
  <c r="AM32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M60" i="2"/>
  <c r="A65" i="2"/>
  <c r="A66" i="2"/>
  <c r="Y9" i="1"/>
  <c r="Y32" i="1" s="1"/>
  <c r="Y34" i="1" s="1"/>
  <c r="Y10" i="1"/>
  <c r="Y10" i="3" s="1"/>
  <c r="E11" i="1"/>
  <c r="C11" i="1" s="1"/>
  <c r="G11" i="1"/>
  <c r="G32" i="1" s="1"/>
  <c r="G34" i="1" s="1"/>
  <c r="I11" i="1"/>
  <c r="I32" i="1" s="1"/>
  <c r="I34" i="1" s="1"/>
  <c r="K11" i="1"/>
  <c r="M11" i="1"/>
  <c r="O11" i="1"/>
  <c r="O32" i="1" s="1"/>
  <c r="O34" i="1" s="1"/>
  <c r="Q11" i="1"/>
  <c r="Q32" i="1" s="1"/>
  <c r="Q34" i="1" s="1"/>
  <c r="S11" i="1"/>
  <c r="U11" i="1"/>
  <c r="W11" i="1"/>
  <c r="W32" i="1" s="1"/>
  <c r="W34" i="1" s="1"/>
  <c r="Y11" i="1"/>
  <c r="Y11" i="3" s="1"/>
  <c r="AA11" i="1"/>
  <c r="AC11" i="1"/>
  <c r="AE11" i="1"/>
  <c r="AE32" i="1" s="1"/>
  <c r="AE34" i="1" s="1"/>
  <c r="AG11" i="1"/>
  <c r="AG32" i="1" s="1"/>
  <c r="AG34" i="1" s="1"/>
  <c r="AI11" i="1"/>
  <c r="AK11" i="1"/>
  <c r="AM11" i="1"/>
  <c r="AM32" i="1" s="1"/>
  <c r="C12" i="1"/>
  <c r="Y12" i="1"/>
  <c r="Y13" i="1"/>
  <c r="Y13" i="3" s="1"/>
  <c r="AM13" i="1"/>
  <c r="AM13" i="3" s="1"/>
  <c r="E14" i="1"/>
  <c r="G14" i="1"/>
  <c r="G14" i="3" s="1"/>
  <c r="I14" i="1"/>
  <c r="I14" i="3" s="1"/>
  <c r="K14" i="1"/>
  <c r="Y14" i="1"/>
  <c r="AM14" i="1"/>
  <c r="AM14" i="3" s="1"/>
  <c r="C15" i="1"/>
  <c r="E15" i="1"/>
  <c r="K15" i="1"/>
  <c r="Q15" i="1"/>
  <c r="Q15" i="3" s="1"/>
  <c r="U15" i="1"/>
  <c r="AK15" i="1"/>
  <c r="AM15" i="1"/>
  <c r="Y16" i="1"/>
  <c r="C16" i="1" s="1"/>
  <c r="E17" i="1"/>
  <c r="G17" i="1"/>
  <c r="C17" i="1" s="1"/>
  <c r="I17" i="1"/>
  <c r="K17" i="1"/>
  <c r="M17" i="1"/>
  <c r="M17" i="3" s="1"/>
  <c r="O17" i="1"/>
  <c r="O17" i="3" s="1"/>
  <c r="Q17" i="1"/>
  <c r="Q17" i="3" s="1"/>
  <c r="S17" i="1"/>
  <c r="U17" i="1"/>
  <c r="W17" i="1"/>
  <c r="Y17" i="1"/>
  <c r="AA17" i="1"/>
  <c r="AC17" i="1"/>
  <c r="AC17" i="3" s="1"/>
  <c r="AE17" i="1"/>
  <c r="AE17" i="3" s="1"/>
  <c r="AG17" i="1"/>
  <c r="AG17" i="3" s="1"/>
  <c r="AI17" i="1"/>
  <c r="AK17" i="1"/>
  <c r="AM17" i="1"/>
  <c r="C18" i="1"/>
  <c r="Y18" i="1"/>
  <c r="C19" i="1"/>
  <c r="E20" i="1"/>
  <c r="E20" i="3" s="1"/>
  <c r="G20" i="1"/>
  <c r="K20" i="1"/>
  <c r="U20" i="1"/>
  <c r="W20" i="1"/>
  <c r="Y20" i="1"/>
  <c r="AA20" i="1"/>
  <c r="AA32" i="1" s="1"/>
  <c r="AA34" i="1" s="1"/>
  <c r="AC20" i="1"/>
  <c r="AC20" i="3" s="1"/>
  <c r="AG20" i="1"/>
  <c r="AG20" i="3" s="1"/>
  <c r="AI20" i="1"/>
  <c r="AK20" i="1"/>
  <c r="AM20" i="1"/>
  <c r="C21" i="1"/>
  <c r="U21" i="1"/>
  <c r="Y21" i="1"/>
  <c r="Y21" i="3" s="1"/>
  <c r="C21" i="3" s="1"/>
  <c r="E22" i="1"/>
  <c r="E22" i="3" s="1"/>
  <c r="C22" i="3" s="1"/>
  <c r="G22" i="1"/>
  <c r="I22" i="1"/>
  <c r="K22" i="1"/>
  <c r="O22" i="1"/>
  <c r="O22" i="3" s="1"/>
  <c r="U22" i="1"/>
  <c r="W22" i="1"/>
  <c r="W22" i="3" s="1"/>
  <c r="Y22" i="1"/>
  <c r="Y22" i="3" s="1"/>
  <c r="AA22" i="1"/>
  <c r="AA22" i="3" s="1"/>
  <c r="AC22" i="1"/>
  <c r="AE22" i="1"/>
  <c r="AG22" i="1"/>
  <c r="AI22" i="1"/>
  <c r="AI22" i="3" s="1"/>
  <c r="AK22" i="1"/>
  <c r="AM22" i="1"/>
  <c r="AM22" i="3" s="1"/>
  <c r="E23" i="1"/>
  <c r="E23" i="3" s="1"/>
  <c r="C23" i="3" s="1"/>
  <c r="K23" i="1"/>
  <c r="AK23" i="1"/>
  <c r="E24" i="1"/>
  <c r="E24" i="3" s="1"/>
  <c r="C24" i="3" s="1"/>
  <c r="K24" i="1"/>
  <c r="AI24" i="1"/>
  <c r="AI24" i="3" s="1"/>
  <c r="K25" i="1"/>
  <c r="K32" i="1" s="1"/>
  <c r="K34" i="1" s="1"/>
  <c r="Y25" i="1"/>
  <c r="E26" i="1"/>
  <c r="C26" i="1" s="1"/>
  <c r="G26" i="1"/>
  <c r="G26" i="3" s="1"/>
  <c r="I26" i="1"/>
  <c r="K26" i="1"/>
  <c r="K26" i="3" s="1"/>
  <c r="M26" i="1"/>
  <c r="M32" i="1" s="1"/>
  <c r="M34" i="1" s="1"/>
  <c r="Q26" i="1"/>
  <c r="Q26" i="3" s="1"/>
  <c r="U26" i="1"/>
  <c r="W26" i="1"/>
  <c r="Y26" i="1"/>
  <c r="AA26" i="1"/>
  <c r="AA26" i="3" s="1"/>
  <c r="AC26" i="1"/>
  <c r="AE26" i="1"/>
  <c r="AE26" i="3" s="1"/>
  <c r="AG26" i="1"/>
  <c r="AG26" i="3" s="1"/>
  <c r="AI26" i="1"/>
  <c r="AI26" i="3" s="1"/>
  <c r="AK26" i="1"/>
  <c r="AM26" i="1"/>
  <c r="E27" i="1"/>
  <c r="C27" i="1" s="1"/>
  <c r="G27" i="1"/>
  <c r="I27" i="1"/>
  <c r="I27" i="3" s="1"/>
  <c r="K27" i="1"/>
  <c r="K27" i="3" s="1"/>
  <c r="M27" i="1"/>
  <c r="M27" i="3" s="1"/>
  <c r="O27" i="1"/>
  <c r="Q27" i="1"/>
  <c r="S27" i="1"/>
  <c r="U27" i="1"/>
  <c r="U27" i="3" s="1"/>
  <c r="W27" i="1"/>
  <c r="Y27" i="1"/>
  <c r="Y27" i="3" s="1"/>
  <c r="AA27" i="1"/>
  <c r="AA27" i="3" s="1"/>
  <c r="AC27" i="1"/>
  <c r="AC27" i="3" s="1"/>
  <c r="AE27" i="1"/>
  <c r="AG27" i="1"/>
  <c r="AI27" i="1"/>
  <c r="AK27" i="1"/>
  <c r="AK27" i="3" s="1"/>
  <c r="AM27" i="1"/>
  <c r="C28" i="1"/>
  <c r="C29" i="1"/>
  <c r="E30" i="1"/>
  <c r="G30" i="1"/>
  <c r="K30" i="1"/>
  <c r="M30" i="1"/>
  <c r="U30" i="1"/>
  <c r="W30" i="1"/>
  <c r="W30" i="3" s="1"/>
  <c r="Y30" i="1"/>
  <c r="Y30" i="3" s="1"/>
  <c r="AA30" i="1"/>
  <c r="AA30" i="3" s="1"/>
  <c r="AC30" i="1"/>
  <c r="AE30" i="1"/>
  <c r="AG30" i="1"/>
  <c r="AI30" i="1"/>
  <c r="AI30" i="3" s="1"/>
  <c r="AK30" i="1"/>
  <c r="AM30" i="1"/>
  <c r="AM30" i="3" s="1"/>
  <c r="E32" i="1"/>
  <c r="E34" i="1" s="1"/>
  <c r="S32" i="1"/>
  <c r="S34" i="1" s="1"/>
  <c r="U32" i="1"/>
  <c r="U34" i="1" s="1"/>
  <c r="AK32" i="1"/>
  <c r="AK34" i="1" s="1"/>
  <c r="C39" i="1"/>
  <c r="C40" i="1"/>
  <c r="C41" i="1"/>
  <c r="C42" i="1"/>
  <c r="C43" i="1"/>
  <c r="C44" i="1"/>
  <c r="C45" i="1"/>
  <c r="C46" i="1"/>
  <c r="C47" i="1"/>
  <c r="AM47" i="1"/>
  <c r="C48" i="1"/>
  <c r="C49" i="1"/>
  <c r="C50" i="1"/>
  <c r="AM50" i="1"/>
  <c r="C51" i="1"/>
  <c r="AM52" i="1"/>
  <c r="AM52" i="3" s="1"/>
  <c r="C52" i="3" s="1"/>
  <c r="AM53" i="1"/>
  <c r="C53" i="1" s="1"/>
  <c r="C54" i="1"/>
  <c r="C55" i="1"/>
  <c r="C56" i="1"/>
  <c r="C57" i="1"/>
  <c r="C58" i="1"/>
  <c r="C59" i="1"/>
  <c r="AM59" i="1"/>
  <c r="E60" i="1"/>
  <c r="G60" i="1"/>
  <c r="I60" i="1"/>
  <c r="K60" i="1"/>
  <c r="M60" i="1"/>
  <c r="O60" i="1"/>
  <c r="Q60" i="1"/>
  <c r="S60" i="1"/>
  <c r="U60" i="1"/>
  <c r="W60" i="1"/>
  <c r="Y60" i="1"/>
  <c r="AA60" i="1"/>
  <c r="AC60" i="1"/>
  <c r="AE60" i="1"/>
  <c r="AG60" i="1"/>
  <c r="AI60" i="1"/>
  <c r="AK60" i="1"/>
  <c r="AM60" i="1"/>
  <c r="A65" i="1"/>
  <c r="A66" i="1"/>
  <c r="E9" i="3"/>
  <c r="G9" i="3"/>
  <c r="I9" i="3"/>
  <c r="C9" i="3" s="1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E10" i="3"/>
  <c r="C10" i="3" s="1"/>
  <c r="G10" i="3"/>
  <c r="I10" i="3"/>
  <c r="K10" i="3"/>
  <c r="M10" i="3"/>
  <c r="O10" i="3"/>
  <c r="Q10" i="3"/>
  <c r="S10" i="3"/>
  <c r="S32" i="3" s="1"/>
  <c r="U10" i="3"/>
  <c r="U32" i="3" s="1"/>
  <c r="W10" i="3"/>
  <c r="AA10" i="3"/>
  <c r="AC10" i="3"/>
  <c r="AE10" i="3"/>
  <c r="AG10" i="3"/>
  <c r="AI10" i="3"/>
  <c r="AI32" i="3" s="1"/>
  <c r="AK10" i="3"/>
  <c r="AK32" i="3" s="1"/>
  <c r="AM10" i="3"/>
  <c r="E11" i="3"/>
  <c r="G11" i="3"/>
  <c r="K11" i="3"/>
  <c r="M11" i="3"/>
  <c r="O11" i="3"/>
  <c r="S11" i="3"/>
  <c r="U11" i="3"/>
  <c r="W11" i="3"/>
  <c r="AA11" i="3"/>
  <c r="AC11" i="3"/>
  <c r="AE11" i="3"/>
  <c r="AI11" i="3"/>
  <c r="AK11" i="3"/>
  <c r="AM11" i="3"/>
  <c r="E12" i="3"/>
  <c r="C12" i="3" s="1"/>
  <c r="G12" i="3"/>
  <c r="I12" i="3"/>
  <c r="K12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E13" i="3"/>
  <c r="G13" i="3"/>
  <c r="I13" i="3"/>
  <c r="K13" i="3"/>
  <c r="M13" i="3"/>
  <c r="O13" i="3"/>
  <c r="Q13" i="3"/>
  <c r="S13" i="3"/>
  <c r="U13" i="3"/>
  <c r="W13" i="3"/>
  <c r="AA13" i="3"/>
  <c r="AC13" i="3"/>
  <c r="AE13" i="3"/>
  <c r="AG13" i="3"/>
  <c r="AI13" i="3"/>
  <c r="AK13" i="3"/>
  <c r="E14" i="3"/>
  <c r="K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E15" i="3"/>
  <c r="C15" i="3" s="1"/>
  <c r="G15" i="3"/>
  <c r="I15" i="3"/>
  <c r="K15" i="3"/>
  <c r="M15" i="3"/>
  <c r="O15" i="3"/>
  <c r="S15" i="3"/>
  <c r="U15" i="3"/>
  <c r="W15" i="3"/>
  <c r="Y15" i="3"/>
  <c r="AA15" i="3"/>
  <c r="AC15" i="3"/>
  <c r="AE15" i="3"/>
  <c r="AG15" i="3"/>
  <c r="AI15" i="3"/>
  <c r="AK15" i="3"/>
  <c r="AM15" i="3"/>
  <c r="E16" i="3"/>
  <c r="G16" i="3"/>
  <c r="I16" i="3"/>
  <c r="K16" i="3"/>
  <c r="M16" i="3"/>
  <c r="O16" i="3"/>
  <c r="Q16" i="3"/>
  <c r="S16" i="3"/>
  <c r="U16" i="3"/>
  <c r="W16" i="3"/>
  <c r="AA16" i="3"/>
  <c r="AC16" i="3"/>
  <c r="AE16" i="3"/>
  <c r="AG16" i="3"/>
  <c r="AI16" i="3"/>
  <c r="AK16" i="3"/>
  <c r="AM16" i="3"/>
  <c r="E17" i="3"/>
  <c r="G17" i="3"/>
  <c r="I17" i="3"/>
  <c r="K17" i="3"/>
  <c r="S17" i="3"/>
  <c r="U17" i="3"/>
  <c r="W17" i="3"/>
  <c r="Y17" i="3"/>
  <c r="AA17" i="3"/>
  <c r="AI17" i="3"/>
  <c r="AK17" i="3"/>
  <c r="AM17" i="3"/>
  <c r="E18" i="3"/>
  <c r="C18" i="3" s="1"/>
  <c r="G18" i="3"/>
  <c r="I18" i="3"/>
  <c r="K18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E19" i="3"/>
  <c r="C19" i="3" s="1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G20" i="3"/>
  <c r="I20" i="3"/>
  <c r="K20" i="3"/>
  <c r="M20" i="3"/>
  <c r="O20" i="3"/>
  <c r="Q20" i="3"/>
  <c r="S20" i="3"/>
  <c r="U20" i="3"/>
  <c r="W20" i="3"/>
  <c r="Y20" i="3"/>
  <c r="AE20" i="3"/>
  <c r="AI20" i="3"/>
  <c r="AK20" i="3"/>
  <c r="AM20" i="3"/>
  <c r="E21" i="3"/>
  <c r="G21" i="3"/>
  <c r="I21" i="3"/>
  <c r="K21" i="3"/>
  <c r="M21" i="3"/>
  <c r="O21" i="3"/>
  <c r="Q21" i="3"/>
  <c r="S21" i="3"/>
  <c r="U21" i="3"/>
  <c r="W21" i="3"/>
  <c r="AA21" i="3"/>
  <c r="AC21" i="3"/>
  <c r="AE21" i="3"/>
  <c r="AG21" i="3"/>
  <c r="AI21" i="3"/>
  <c r="AK21" i="3"/>
  <c r="AM21" i="3"/>
  <c r="G22" i="3"/>
  <c r="I22" i="3"/>
  <c r="K22" i="3"/>
  <c r="M22" i="3"/>
  <c r="Q22" i="3"/>
  <c r="S22" i="3"/>
  <c r="U22" i="3"/>
  <c r="AC22" i="3"/>
  <c r="AE22" i="3"/>
  <c r="AG22" i="3"/>
  <c r="AK22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G24" i="3"/>
  <c r="I24" i="3"/>
  <c r="K24" i="3"/>
  <c r="M24" i="3"/>
  <c r="O24" i="3"/>
  <c r="Q24" i="3"/>
  <c r="S24" i="3"/>
  <c r="U24" i="3"/>
  <c r="W24" i="3"/>
  <c r="Y24" i="3"/>
  <c r="AA24" i="3"/>
  <c r="AC24" i="3"/>
  <c r="AE24" i="3"/>
  <c r="AG24" i="3"/>
  <c r="AK24" i="3"/>
  <c r="AM24" i="3"/>
  <c r="E25" i="3"/>
  <c r="G25" i="3"/>
  <c r="I25" i="3"/>
  <c r="C25" i="3" s="1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E26" i="3"/>
  <c r="I26" i="3"/>
  <c r="O26" i="3"/>
  <c r="S26" i="3"/>
  <c r="U26" i="3"/>
  <c r="W26" i="3"/>
  <c r="Y26" i="3"/>
  <c r="AC26" i="3"/>
  <c r="AK26" i="3"/>
  <c r="AM26" i="3"/>
  <c r="G27" i="3"/>
  <c r="O27" i="3"/>
  <c r="Q27" i="3"/>
  <c r="S27" i="3"/>
  <c r="W27" i="3"/>
  <c r="AE27" i="3"/>
  <c r="AG27" i="3"/>
  <c r="AI27" i="3"/>
  <c r="AM27" i="3"/>
  <c r="E28" i="3"/>
  <c r="C28" i="3" s="1"/>
  <c r="G28" i="3"/>
  <c r="I28" i="3"/>
  <c r="K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E29" i="3"/>
  <c r="G29" i="3"/>
  <c r="I29" i="3"/>
  <c r="K29" i="3"/>
  <c r="M29" i="3"/>
  <c r="O29" i="3"/>
  <c r="Q29" i="3"/>
  <c r="S29" i="3"/>
  <c r="C29" i="3" s="1"/>
  <c r="U29" i="3"/>
  <c r="W29" i="3"/>
  <c r="Y29" i="3"/>
  <c r="AA29" i="3"/>
  <c r="AC29" i="3"/>
  <c r="AE29" i="3"/>
  <c r="AG29" i="3"/>
  <c r="AI29" i="3"/>
  <c r="AK29" i="3"/>
  <c r="AM29" i="3"/>
  <c r="E30" i="3"/>
  <c r="G30" i="3"/>
  <c r="I30" i="3"/>
  <c r="K30" i="3"/>
  <c r="M30" i="3"/>
  <c r="O30" i="3"/>
  <c r="Q30" i="3"/>
  <c r="S30" i="3"/>
  <c r="U30" i="3"/>
  <c r="AC30" i="3"/>
  <c r="AE30" i="3"/>
  <c r="AG30" i="3"/>
  <c r="AK30" i="3"/>
  <c r="E39" i="3"/>
  <c r="C39" i="3" s="1"/>
  <c r="G39" i="3"/>
  <c r="G60" i="3" s="1"/>
  <c r="I39" i="3"/>
  <c r="I60" i="3" s="1"/>
  <c r="K39" i="3"/>
  <c r="M39" i="3"/>
  <c r="M60" i="3" s="1"/>
  <c r="O39" i="3"/>
  <c r="O60" i="3" s="1"/>
  <c r="Q39" i="3"/>
  <c r="Q60" i="3" s="1"/>
  <c r="S39" i="3"/>
  <c r="U39" i="3"/>
  <c r="W39" i="3"/>
  <c r="W60" i="3" s="1"/>
  <c r="Y39" i="3"/>
  <c r="Y60" i="3" s="1"/>
  <c r="AA39" i="3"/>
  <c r="AC39" i="3"/>
  <c r="AC60" i="3" s="1"/>
  <c r="AE39" i="3"/>
  <c r="AE60" i="3" s="1"/>
  <c r="AG39" i="3"/>
  <c r="AG60" i="3" s="1"/>
  <c r="AI39" i="3"/>
  <c r="AK39" i="3"/>
  <c r="AM39" i="3"/>
  <c r="E40" i="3"/>
  <c r="G40" i="3"/>
  <c r="I40" i="3"/>
  <c r="C40" i="3" s="1"/>
  <c r="K40" i="3"/>
  <c r="K60" i="3" s="1"/>
  <c r="M40" i="3"/>
  <c r="O40" i="3"/>
  <c r="Q40" i="3"/>
  <c r="S40" i="3"/>
  <c r="U40" i="3"/>
  <c r="W40" i="3"/>
  <c r="Y40" i="3"/>
  <c r="AA40" i="3"/>
  <c r="AA60" i="3" s="1"/>
  <c r="AC40" i="3"/>
  <c r="AE40" i="3"/>
  <c r="AG40" i="3"/>
  <c r="AI40" i="3"/>
  <c r="AK40" i="3"/>
  <c r="AM40" i="3"/>
  <c r="E41" i="3"/>
  <c r="C41" i="3" s="1"/>
  <c r="G41" i="3"/>
  <c r="I41" i="3"/>
  <c r="K41" i="3"/>
  <c r="M41" i="3"/>
  <c r="O41" i="3"/>
  <c r="Q41" i="3"/>
  <c r="S41" i="3"/>
  <c r="U41" i="3"/>
  <c r="U60" i="3" s="1"/>
  <c r="W41" i="3"/>
  <c r="Y41" i="3"/>
  <c r="AA41" i="3"/>
  <c r="AC41" i="3"/>
  <c r="AE41" i="3"/>
  <c r="AG41" i="3"/>
  <c r="AI41" i="3"/>
  <c r="AK41" i="3"/>
  <c r="AK60" i="3" s="1"/>
  <c r="AM41" i="3"/>
  <c r="E42" i="3"/>
  <c r="C42" i="3" s="1"/>
  <c r="G42" i="3"/>
  <c r="I42" i="3"/>
  <c r="K42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E43" i="3"/>
  <c r="C43" i="3" s="1"/>
  <c r="G43" i="3"/>
  <c r="I43" i="3"/>
  <c r="K43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E44" i="3"/>
  <c r="G44" i="3"/>
  <c r="I44" i="3"/>
  <c r="K44" i="3"/>
  <c r="M44" i="3"/>
  <c r="O44" i="3"/>
  <c r="Q44" i="3"/>
  <c r="S44" i="3"/>
  <c r="C44" i="3" s="1"/>
  <c r="U44" i="3"/>
  <c r="W44" i="3"/>
  <c r="Y44" i="3"/>
  <c r="AA44" i="3"/>
  <c r="AC44" i="3"/>
  <c r="AE44" i="3"/>
  <c r="AG44" i="3"/>
  <c r="AI44" i="3"/>
  <c r="AK44" i="3"/>
  <c r="AM44" i="3"/>
  <c r="E45" i="3"/>
  <c r="C45" i="3" s="1"/>
  <c r="G45" i="3"/>
  <c r="I45" i="3"/>
  <c r="K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E46" i="3"/>
  <c r="C46" i="3" s="1"/>
  <c r="G46" i="3"/>
  <c r="I46" i="3"/>
  <c r="K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E47" i="3"/>
  <c r="C47" i="3" s="1"/>
  <c r="G47" i="3"/>
  <c r="I47" i="3"/>
  <c r="K47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E48" i="3"/>
  <c r="G48" i="3"/>
  <c r="I48" i="3"/>
  <c r="C48" i="3" s="1"/>
  <c r="K48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E49" i="3"/>
  <c r="C49" i="3" s="1"/>
  <c r="G49" i="3"/>
  <c r="I49" i="3"/>
  <c r="K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E50" i="3"/>
  <c r="C50" i="3" s="1"/>
  <c r="G50" i="3"/>
  <c r="I50" i="3"/>
  <c r="K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E51" i="3"/>
  <c r="C51" i="3" s="1"/>
  <c r="G51" i="3"/>
  <c r="I51" i="3"/>
  <c r="K51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E52" i="3"/>
  <c r="G52" i="3"/>
  <c r="I52" i="3"/>
  <c r="K52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E53" i="3"/>
  <c r="G53" i="3"/>
  <c r="I53" i="3"/>
  <c r="K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E54" i="3"/>
  <c r="C54" i="3" s="1"/>
  <c r="G54" i="3"/>
  <c r="I54" i="3"/>
  <c r="K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E55" i="3"/>
  <c r="C55" i="3" s="1"/>
  <c r="G55" i="3"/>
  <c r="I55" i="3"/>
  <c r="K55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E56" i="3"/>
  <c r="G56" i="3"/>
  <c r="I56" i="3"/>
  <c r="C56" i="3" s="1"/>
  <c r="K56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E57" i="3"/>
  <c r="C57" i="3" s="1"/>
  <c r="G57" i="3"/>
  <c r="I57" i="3"/>
  <c r="K57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E58" i="3"/>
  <c r="C58" i="3" s="1"/>
  <c r="G58" i="3"/>
  <c r="I58" i="3"/>
  <c r="K58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E59" i="3"/>
  <c r="C59" i="3" s="1"/>
  <c r="G59" i="3"/>
  <c r="I59" i="3"/>
  <c r="K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S60" i="3"/>
  <c r="AI60" i="3"/>
  <c r="A65" i="3"/>
  <c r="A66" i="3"/>
  <c r="C17" i="3" l="1"/>
  <c r="M32" i="3"/>
  <c r="Q32" i="3"/>
  <c r="G32" i="3"/>
  <c r="C20" i="3"/>
  <c r="AE32" i="3"/>
  <c r="AC32" i="3"/>
  <c r="AM62" i="1"/>
  <c r="W32" i="3"/>
  <c r="C53" i="3"/>
  <c r="C60" i="3" s="1"/>
  <c r="C30" i="3"/>
  <c r="AM32" i="3"/>
  <c r="C26" i="3"/>
  <c r="O32" i="3"/>
  <c r="C14" i="3"/>
  <c r="C11" i="3"/>
  <c r="K32" i="3"/>
  <c r="C13" i="3"/>
  <c r="M26" i="3"/>
  <c r="Y16" i="3"/>
  <c r="Y32" i="3" s="1"/>
  <c r="E60" i="3"/>
  <c r="I32" i="3"/>
  <c r="AA20" i="3"/>
  <c r="AA32" i="3" s="1"/>
  <c r="AG11" i="3"/>
  <c r="AG32" i="3" s="1"/>
  <c r="Q11" i="3"/>
  <c r="C14" i="1"/>
  <c r="C30" i="1"/>
  <c r="AI32" i="1"/>
  <c r="AI34" i="1" s="1"/>
  <c r="C25" i="1"/>
  <c r="C23" i="1"/>
  <c r="C22" i="1"/>
  <c r="C20" i="1"/>
  <c r="C10" i="1"/>
  <c r="C13" i="1"/>
  <c r="AM53" i="3"/>
  <c r="AM60" i="3" s="1"/>
  <c r="I11" i="3"/>
  <c r="C9" i="1"/>
  <c r="E27" i="3"/>
  <c r="C27" i="3" s="1"/>
  <c r="C52" i="1"/>
  <c r="C60" i="1" s="1"/>
  <c r="C24" i="1"/>
  <c r="AC32" i="1"/>
  <c r="AC34" i="1" s="1"/>
  <c r="C32" i="3" l="1"/>
  <c r="C16" i="3"/>
  <c r="C32" i="1"/>
  <c r="C34" i="1" s="1"/>
  <c r="E32" i="3"/>
</calcChain>
</file>

<file path=xl/sharedStrings.xml><?xml version="1.0" encoding="utf-8"?>
<sst xmlns="http://schemas.openxmlformats.org/spreadsheetml/2006/main" count="279" uniqueCount="86">
  <si>
    <t>ENRON</t>
  </si>
  <si>
    <t>2001 G&amp;A COSTS</t>
  </si>
  <si>
    <t>FOR THE EIGHT MONTHS ENDED AUGUST 31, 2001</t>
  </si>
  <si>
    <t>(in thousands)</t>
  </si>
  <si>
    <t>Wholesale</t>
  </si>
  <si>
    <t>Middle</t>
  </si>
  <si>
    <t>Total</t>
  </si>
  <si>
    <t>ETS</t>
  </si>
  <si>
    <t>EGAS</t>
  </si>
  <si>
    <t>Americas</t>
  </si>
  <si>
    <t>EGF</t>
  </si>
  <si>
    <t>EPI</t>
  </si>
  <si>
    <t>Other</t>
  </si>
  <si>
    <t>EES</t>
  </si>
  <si>
    <t>Europe</t>
  </si>
  <si>
    <t>EGM</t>
  </si>
  <si>
    <t>EIM</t>
  </si>
  <si>
    <t>ENW</t>
  </si>
  <si>
    <t>EEOS</t>
  </si>
  <si>
    <t>EGEP</t>
  </si>
  <si>
    <t>East</t>
  </si>
  <si>
    <t>EBS</t>
  </si>
  <si>
    <t>Corp</t>
  </si>
  <si>
    <t>Salaries</t>
  </si>
  <si>
    <t xml:space="preserve">Benefits </t>
  </si>
  <si>
    <t>52001000</t>
  </si>
  <si>
    <t>Employee Expenses</t>
  </si>
  <si>
    <t>52001500, 52002000, 52002500, 52003000, 52003500, 52004000 52004500</t>
  </si>
  <si>
    <t>Advertising</t>
  </si>
  <si>
    <t>52500500</t>
  </si>
  <si>
    <t>Communications expense</t>
  </si>
  <si>
    <t>52503500</t>
  </si>
  <si>
    <t>Contributions</t>
  </si>
  <si>
    <t>52504100, 52504200</t>
  </si>
  <si>
    <t>Computer expense</t>
  </si>
  <si>
    <t>52503600, 52504500</t>
  </si>
  <si>
    <t>Insurance</t>
  </si>
  <si>
    <t>52506500</t>
  </si>
  <si>
    <t>Outside services</t>
  </si>
  <si>
    <t>52507000, 52507100, 52507200, 52507300, 52507400, 52507500, 52507600, 52507700, 52508000</t>
  </si>
  <si>
    <t>Postage &amp; Freight</t>
  </si>
  <si>
    <t>52508100</t>
  </si>
  <si>
    <t>Subscriptions</t>
  </si>
  <si>
    <t>52508500</t>
  </si>
  <si>
    <t>Materials &amp; supplies</t>
  </si>
  <si>
    <t>53500000, 53500500, 53501000</t>
  </si>
  <si>
    <t>Supply expense</t>
  </si>
  <si>
    <t>53600000</t>
  </si>
  <si>
    <t>Rent expense</t>
  </si>
  <si>
    <t>53800000, 53801000</t>
  </si>
  <si>
    <t>Fuel</t>
  </si>
  <si>
    <t>53000100, 53000200, 54000000</t>
  </si>
  <si>
    <t>Right of Way</t>
  </si>
  <si>
    <t>53102000, 53102100</t>
  </si>
  <si>
    <t>Utilities</t>
  </si>
  <si>
    <t>53900000, 53900100</t>
  </si>
  <si>
    <t>52501000, 52501500, 52503100, 52504000, 52505000, 52505500, 52506000, 52509000, 53200000, 53200100, 54005000, 56000100</t>
  </si>
  <si>
    <t>Allocations</t>
  </si>
  <si>
    <t>52503000, 59810000, 59810200</t>
  </si>
  <si>
    <t>EIS allocations</t>
  </si>
  <si>
    <t>52502000</t>
  </si>
  <si>
    <t>EPSC allocations</t>
  </si>
  <si>
    <t>52502500</t>
  </si>
  <si>
    <t>Settlements</t>
  </si>
  <si>
    <t>59810300 - 59901110</t>
  </si>
  <si>
    <t>Expenses by Function:</t>
  </si>
  <si>
    <t>Commercial</t>
  </si>
  <si>
    <t>Structuring</t>
  </si>
  <si>
    <t>Logistics</t>
  </si>
  <si>
    <t>Research</t>
  </si>
  <si>
    <t>Other Mid-office</t>
  </si>
  <si>
    <t>Field Personnel</t>
  </si>
  <si>
    <t>Legal</t>
  </si>
  <si>
    <t>Accounting/Audit/Finance/Treasury</t>
  </si>
  <si>
    <t>Tax</t>
  </si>
  <si>
    <t>Information Technology</t>
  </si>
  <si>
    <t>IR/PR/Community Relations</t>
  </si>
  <si>
    <t>Gov't/Regulatory Affairs</t>
  </si>
  <si>
    <t>Human Resources</t>
  </si>
  <si>
    <t>Compensation (Bonus/Stock)</t>
  </si>
  <si>
    <t>Enron Property and Services Corp.</t>
  </si>
  <si>
    <t>Analysts and Associates</t>
  </si>
  <si>
    <t>Executive</t>
  </si>
  <si>
    <t>EREC</t>
  </si>
  <si>
    <t>FOR THE FOUR MONTHS ENDED DECEMBER 31, 2001</t>
  </si>
  <si>
    <t>FOR THE TWELVE MONTHS ENDED DECEMBER 31,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</si>
</sst>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1" formatCode="_(* #,##0_);_(* \(#,##0\);_(* &quot;-&quot;_);_(@_)"/>
    <numFmt numFmtId="164" formatCode="m/d/yy\ h:mm\ AM/PM"/>
    <numFmt numFmtId="165" formatCode="#,##0.0_);\(#,##0.0\)"/>
    <numFmt numFmtId="166" formatCode="#&quot;\&quot;&quot;\&quot;&quot;\&quot;&quot;\&quot;\ ??/??"/>
    <numFmt numFmtId="167" formatCode="yy&quot;\&quot;&quot;\&quot;&quot;\&quot;\-mm&quot;\&quot;&quot;\&quot;&quot;\&quot;\-dd&quot;\&quot;&quot;\&quot;&quot;\&quot;&quot;\&quot;\ h:mm"/>
    <numFmt numFmtId="168" formatCode="_ &quot;\&quot;* #,##0.00_ ;_ &quot;\&quot;* &quot;\&quot;&quot;\&quot;&quot;\&quot;&quot;\&quot;&quot;\&quot;\-#,##0.00_ ;_ &quot;\&quot;* &quot;-&quot;??_ ;_ @_ "/>
  </numFmts>
  <fonts count="15">
    <font>
      <sz val="10"/>
      <name val="Arial"/>
    </font>
    <font>
      <sz val="10"/>
      <name val="Arial"/>
    </font>
    <font>
      <sz val="11"/>
      <name val="??"/>
      <family val="3"/>
      <charset val="129"/>
    </font>
    <font>
      <sz val="8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sz val="8"/>
      <name val="SWISS"/>
    </font>
    <font>
      <sz val="10"/>
      <name val="Times New Roman"/>
      <family val="1"/>
    </font>
    <font>
      <sz val="8"/>
      <name val="Arial"/>
    </font>
    <font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6"/>
      <name val="Arial"/>
      <family val="2"/>
    </font>
    <font>
      <sz val="6"/>
      <color indexed="8"/>
      <name val="Small Fonts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0">
    <xf numFmtId="0" fontId="0" fillId="0" borderId="0"/>
    <xf numFmtId="6" fontId="2" fillId="0" borderId="0">
      <protection locked="0"/>
    </xf>
    <xf numFmtId="168" fontId="2" fillId="0" borderId="0">
      <protection locked="0"/>
    </xf>
    <xf numFmtId="38" fontId="3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167" fontId="2" fillId="0" borderId="0">
      <protection locked="0"/>
    </xf>
    <xf numFmtId="167" fontId="2" fillId="0" borderId="0">
      <protection locked="0"/>
    </xf>
    <xf numFmtId="0" fontId="6" fillId="0" borderId="3" applyNumberFormat="0" applyFill="0" applyAlignment="0" applyProtection="0"/>
    <xf numFmtId="10" fontId="3" fillId="3" borderId="4" applyNumberFormat="0" applyBorder="0" applyAlignment="0" applyProtection="0"/>
    <xf numFmtId="166" fontId="2" fillId="0" borderId="0"/>
    <xf numFmtId="165" fontId="7" fillId="0" borderId="0"/>
    <xf numFmtId="37" fontId="8" fillId="0" borderId="0"/>
    <xf numFmtId="10" fontId="1" fillId="0" borderId="0" applyFont="0" applyFill="0" applyBorder="0" applyAlignment="0" applyProtection="0"/>
    <xf numFmtId="167" fontId="2" fillId="0" borderId="5">
      <protection locked="0"/>
    </xf>
    <xf numFmtId="37" fontId="9" fillId="2" borderId="0" applyNumberFormat="0" applyBorder="0" applyAlignment="0" applyProtection="0"/>
    <xf numFmtId="37" fontId="9" fillId="0" borderId="0"/>
    <xf numFmtId="37" fontId="3" fillId="4" borderId="0" applyNumberFormat="0" applyBorder="0" applyAlignment="0" applyProtection="0"/>
    <xf numFmtId="3" fontId="10" fillId="0" borderId="3" applyProtection="0"/>
  </cellStyleXfs>
  <cellXfs count="29">
    <xf numFmtId="0" fontId="0" fillId="0" borderId="0" xfId="0"/>
    <xf numFmtId="41" fontId="11" fillId="0" borderId="0" xfId="13" applyNumberFormat="1" applyFont="1"/>
    <xf numFmtId="49" fontId="11" fillId="0" borderId="0" xfId="13" applyNumberFormat="1" applyFont="1"/>
    <xf numFmtId="41" fontId="11" fillId="0" borderId="0" xfId="13" applyNumberFormat="1" applyFont="1" applyBorder="1"/>
    <xf numFmtId="41" fontId="11" fillId="0" borderId="0" xfId="13" applyNumberFormat="1" applyFont="1" applyBorder="1" applyAlignment="1">
      <alignment horizontal="center"/>
    </xf>
    <xf numFmtId="41" fontId="11" fillId="0" borderId="0" xfId="13" applyNumberFormat="1" applyFont="1" applyAlignment="1">
      <alignment horizontal="center"/>
    </xf>
    <xf numFmtId="41" fontId="11" fillId="0" borderId="6" xfId="13" applyNumberFormat="1" applyFont="1" applyBorder="1" applyAlignment="1">
      <alignment horizontal="center"/>
    </xf>
    <xf numFmtId="41" fontId="11" fillId="0" borderId="0" xfId="13" quotePrefix="1" applyNumberFormat="1" applyFont="1" applyAlignment="1">
      <alignment horizontal="center"/>
    </xf>
    <xf numFmtId="41" fontId="11" fillId="0" borderId="0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Alignment="1">
      <alignment horizontal="center"/>
    </xf>
    <xf numFmtId="41" fontId="11" fillId="0" borderId="0" xfId="13" applyNumberFormat="1" applyFont="1" applyFill="1"/>
    <xf numFmtId="41" fontId="11" fillId="0" borderId="0" xfId="13" applyNumberFormat="1" applyFont="1" applyFill="1" applyAlignment="1">
      <alignment horizontal="center"/>
    </xf>
    <xf numFmtId="41" fontId="11" fillId="0" borderId="7" xfId="13" quotePrefix="1" applyNumberFormat="1" applyFont="1" applyBorder="1" applyAlignment="1">
      <alignment horizontal="center"/>
    </xf>
    <xf numFmtId="41" fontId="11" fillId="0" borderId="0" xfId="13" quotePrefix="1" applyNumberFormat="1" applyFont="1" applyFill="1" applyBorder="1" applyAlignment="1">
      <alignment horizontal="center"/>
    </xf>
    <xf numFmtId="41" fontId="11" fillId="0" borderId="7" xfId="13" quotePrefix="1" applyNumberFormat="1" applyFont="1" applyFill="1" applyBorder="1" applyAlignment="1">
      <alignment horizontal="center"/>
    </xf>
    <xf numFmtId="41" fontId="11" fillId="0" borderId="8" xfId="13" applyNumberFormat="1" applyFont="1" applyBorder="1" applyAlignment="1">
      <alignment horizontal="center"/>
    </xf>
    <xf numFmtId="41" fontId="11" fillId="0" borderId="6" xfId="13" applyNumberFormat="1" applyFont="1" applyBorder="1"/>
    <xf numFmtId="41" fontId="0" fillId="0" borderId="0" xfId="0" applyNumberFormat="1"/>
    <xf numFmtId="41" fontId="0" fillId="0" borderId="0" xfId="0" applyNumberFormat="1" applyBorder="1"/>
    <xf numFmtId="49" fontId="11" fillId="0" borderId="0" xfId="13" applyNumberFormat="1" applyFont="1" applyBorder="1"/>
    <xf numFmtId="41" fontId="0" fillId="0" borderId="0" xfId="0" applyNumberFormat="1" applyFill="1" applyBorder="1"/>
    <xf numFmtId="41" fontId="11" fillId="0" borderId="6" xfId="13" quotePrefix="1" applyNumberFormat="1" applyFont="1" applyBorder="1" applyAlignment="1">
      <alignment horizontal="center"/>
    </xf>
    <xf numFmtId="41" fontId="13" fillId="0" borderId="0" xfId="12" applyNumberFormat="1" applyFont="1" applyAlignment="1">
      <alignment horizontal="left"/>
    </xf>
    <xf numFmtId="41" fontId="11" fillId="5" borderId="0" xfId="13" quotePrefix="1" applyNumberFormat="1" applyFont="1" applyFill="1" applyAlignment="1">
      <alignment horizontal="center"/>
    </xf>
    <xf numFmtId="41" fontId="11" fillId="5" borderId="0" xfId="13" applyNumberFormat="1" applyFont="1" applyFill="1"/>
    <xf numFmtId="41" fontId="11" fillId="5" borderId="0" xfId="13" applyNumberFormat="1" applyFont="1" applyFill="1" applyAlignment="1">
      <alignment horizontal="center"/>
    </xf>
    <xf numFmtId="164" fontId="14" fillId="0" borderId="0" xfId="0" applyNumberFormat="1" applyFont="1" applyBorder="1" applyAlignment="1">
      <alignment horizontal="left"/>
    </xf>
    <xf numFmtId="41" fontId="5" fillId="0" borderId="0" xfId="13" applyNumberFormat="1" applyFont="1" applyAlignment="1">
      <alignment horizontal="center"/>
    </xf>
    <xf numFmtId="41" fontId="12" fillId="0" borderId="0" xfId="13" applyNumberFormat="1" applyFont="1" applyAlignment="1">
      <alignment horizontal="center"/>
    </xf>
  </cellXfs>
  <cellStyles count="20">
    <cellStyle name="Date" xfId="1"/>
    <cellStyle name="Fixed" xfId="2"/>
    <cellStyle name="Grey" xfId="3"/>
    <cellStyle name="HEADER" xfId="4"/>
    <cellStyle name="Header1" xfId="5"/>
    <cellStyle name="Header2" xfId="6"/>
    <cellStyle name="Heading1" xfId="7"/>
    <cellStyle name="Heading2" xfId="8"/>
    <cellStyle name="HIGHLIGHT" xfId="9"/>
    <cellStyle name="Input [yellow]" xfId="10"/>
    <cellStyle name="Normal" xfId="0" builtinId="0"/>
    <cellStyle name="Normal - Style1" xfId="11"/>
    <cellStyle name="Normal_97 by Qtr" xfId="12"/>
    <cellStyle name="Normal_aa detail" xfId="13"/>
    <cellStyle name="Percent [2]" xfId="14"/>
    <cellStyle name="Total" xfId="15" builtinId="25" customBuiltin="1"/>
    <cellStyle name="Unprot" xfId="16"/>
    <cellStyle name="Unprot$" xfId="17"/>
    <cellStyle name="Unprot_dimon" xfId="18"/>
    <cellStyle name="Unprotect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fp/CURREST/2nd98/Corp/2nd%20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Estimate Format"/>
      <sheetName val="FS_CORP"/>
      <sheetName val="Detailed F.S."/>
      <sheetName val="O&amp;M and Other"/>
      <sheetName val="C F - Def Oth"/>
      <sheetName val="DIRECT CASH"/>
      <sheetName val="C F - W.C."/>
      <sheetName val="Total Obligation Detail"/>
      <sheetName val="Module2"/>
      <sheetName val="Module6"/>
      <sheetName val="Module5"/>
      <sheetName val="Module4"/>
      <sheetName val="Module7"/>
      <sheetName val="Module9"/>
    </sheetNames>
    <sheetDataSet>
      <sheetData sheetId="0" refreshError="1"/>
      <sheetData sheetId="1" refreshError="1"/>
      <sheetData sheetId="2"/>
      <sheetData sheetId="3" refreshError="1">
        <row r="1">
          <cell r="A1" t="str">
            <v>Corporate O &amp; M</v>
          </cell>
        </row>
        <row r="2">
          <cell r="AH2" t="str">
            <v>Six</v>
          </cell>
        </row>
        <row r="3">
          <cell r="E3" t="str">
            <v>RC</v>
          </cell>
          <cell r="G3" t="str">
            <v>January</v>
          </cell>
          <cell r="I3" t="str">
            <v>February</v>
          </cell>
          <cell r="K3" t="str">
            <v>March</v>
          </cell>
          <cell r="M3" t="str">
            <v>April</v>
          </cell>
          <cell r="O3" t="str">
            <v>May</v>
          </cell>
          <cell r="Q3" t="str">
            <v>June</v>
          </cell>
          <cell r="S3" t="str">
            <v xml:space="preserve">July </v>
          </cell>
          <cell r="U3" t="str">
            <v>August</v>
          </cell>
          <cell r="W3" t="str">
            <v>September</v>
          </cell>
          <cell r="Y3" t="str">
            <v>October</v>
          </cell>
          <cell r="AA3" t="str">
            <v>November</v>
          </cell>
          <cell r="AC3" t="str">
            <v>December</v>
          </cell>
          <cell r="AE3">
            <v>1998</v>
          </cell>
          <cell r="AH3" t="str">
            <v>Months</v>
          </cell>
        </row>
        <row r="5">
          <cell r="A5" t="str">
            <v>Corp Cost retained at Corp</v>
          </cell>
        </row>
        <row r="6">
          <cell r="B6" t="str">
            <v>Corporate - 011</v>
          </cell>
        </row>
        <row r="7">
          <cell r="C7" t="str">
            <v>MMF (incl eog service cap)</v>
          </cell>
          <cell r="E7" t="str">
            <v>0004</v>
          </cell>
          <cell r="G7">
            <v>1885807.5</v>
          </cell>
          <cell r="I7">
            <v>1885807.5</v>
          </cell>
          <cell r="K7">
            <v>1885807.5</v>
          </cell>
          <cell r="M7">
            <v>1885807.5</v>
          </cell>
          <cell r="O7">
            <v>1885807.5</v>
          </cell>
          <cell r="Q7">
            <v>1885807.5</v>
          </cell>
          <cell r="S7">
            <v>1885807.5</v>
          </cell>
          <cell r="U7">
            <v>1885807.5</v>
          </cell>
          <cell r="W7">
            <v>1885807.5</v>
          </cell>
          <cell r="Y7">
            <v>1885807.5</v>
          </cell>
          <cell r="AA7">
            <v>1885807.5</v>
          </cell>
          <cell r="AC7">
            <v>1885807.5</v>
          </cell>
          <cell r="AE7">
            <v>22629690</v>
          </cell>
          <cell r="AH7">
            <v>11314845</v>
          </cell>
        </row>
        <row r="8">
          <cell r="C8" t="str">
            <v>Other costs retained</v>
          </cell>
        </row>
        <row r="9">
          <cell r="D9" t="str">
            <v>EDS Costs retained at Corp - RC 118</v>
          </cell>
          <cell r="E9" t="str">
            <v>0118</v>
          </cell>
          <cell r="G9">
            <v>152500</v>
          </cell>
          <cell r="I9">
            <v>152500</v>
          </cell>
          <cell r="K9">
            <v>152500</v>
          </cell>
          <cell r="M9">
            <v>152500</v>
          </cell>
          <cell r="O9">
            <v>152500</v>
          </cell>
          <cell r="Q9">
            <v>152500</v>
          </cell>
          <cell r="S9">
            <v>152500</v>
          </cell>
          <cell r="U9">
            <v>152500</v>
          </cell>
          <cell r="W9">
            <v>152500</v>
          </cell>
          <cell r="Y9">
            <v>152500</v>
          </cell>
          <cell r="AA9">
            <v>152500</v>
          </cell>
          <cell r="AC9">
            <v>152500</v>
          </cell>
          <cell r="AE9">
            <v>1830000</v>
          </cell>
          <cell r="AH9">
            <v>915000</v>
          </cell>
        </row>
        <row r="10">
          <cell r="D10" t="str">
            <v xml:space="preserve">Vacant Space </v>
          </cell>
          <cell r="E10">
            <v>1270</v>
          </cell>
          <cell r="G10">
            <v>75000</v>
          </cell>
          <cell r="I10">
            <v>75000</v>
          </cell>
          <cell r="K10">
            <v>75000</v>
          </cell>
          <cell r="M10">
            <v>75000</v>
          </cell>
          <cell r="O10">
            <v>75000</v>
          </cell>
          <cell r="Q10">
            <v>75000</v>
          </cell>
          <cell r="S10">
            <v>75000</v>
          </cell>
          <cell r="U10">
            <v>75000</v>
          </cell>
          <cell r="W10">
            <v>75000</v>
          </cell>
          <cell r="Y10">
            <v>75000</v>
          </cell>
          <cell r="AA10">
            <v>75000</v>
          </cell>
          <cell r="AC10">
            <v>75000</v>
          </cell>
          <cell r="AE10">
            <v>900000</v>
          </cell>
          <cell r="AH10">
            <v>450000</v>
          </cell>
        </row>
        <row r="11">
          <cell r="D11" t="str">
            <v>EOG Rent Subsidy - RC 2002</v>
          </cell>
          <cell r="E11" t="str">
            <v>2002</v>
          </cell>
          <cell r="G11">
            <v>158333.33333333334</v>
          </cell>
          <cell r="I11">
            <v>158333.33333333334</v>
          </cell>
          <cell r="K11">
            <v>158333.33333333334</v>
          </cell>
          <cell r="M11">
            <v>158333.33333333334</v>
          </cell>
          <cell r="O11">
            <v>158333.33333333334</v>
          </cell>
          <cell r="Q11">
            <v>158333.33333333334</v>
          </cell>
          <cell r="S11">
            <v>158333.33333333334</v>
          </cell>
          <cell r="U11">
            <v>158333.33333333334</v>
          </cell>
          <cell r="W11">
            <v>158333.33333333334</v>
          </cell>
          <cell r="Y11">
            <v>158333.33333333334</v>
          </cell>
          <cell r="AA11">
            <v>158333.33333333334</v>
          </cell>
          <cell r="AC11">
            <v>158333.33333333334</v>
          </cell>
          <cell r="AE11">
            <v>1899999.9999999998</v>
          </cell>
          <cell r="AH11">
            <v>950000.00000000012</v>
          </cell>
        </row>
        <row r="12">
          <cell r="D12" t="str">
            <v xml:space="preserve">Disco Ops adj for Benefits </v>
          </cell>
          <cell r="E12" t="str">
            <v>2002</v>
          </cell>
          <cell r="G12">
            <v>49833.333333333336</v>
          </cell>
          <cell r="I12">
            <v>49833.333333333336</v>
          </cell>
          <cell r="K12">
            <v>49833.333333333336</v>
          </cell>
          <cell r="M12">
            <v>49833.333333333336</v>
          </cell>
          <cell r="O12">
            <v>49833.333333333336</v>
          </cell>
          <cell r="Q12">
            <v>49833.333333333336</v>
          </cell>
          <cell r="S12">
            <v>49833.333333333336</v>
          </cell>
          <cell r="U12">
            <v>49833.333333333336</v>
          </cell>
          <cell r="W12">
            <v>49833.333333333336</v>
          </cell>
          <cell r="Y12">
            <v>49833.333333333336</v>
          </cell>
          <cell r="AA12">
            <v>49833.333333333336</v>
          </cell>
          <cell r="AC12">
            <v>49833.333333333336</v>
          </cell>
          <cell r="AE12">
            <v>598000</v>
          </cell>
          <cell r="AH12">
            <v>299000</v>
          </cell>
        </row>
        <row r="13">
          <cell r="D13" t="str">
            <v>EOG adjustment for benefits</v>
          </cell>
          <cell r="E13">
            <v>2002</v>
          </cell>
          <cell r="G13">
            <v>133333.33333333334</v>
          </cell>
          <cell r="I13">
            <v>133333.33333333334</v>
          </cell>
          <cell r="K13">
            <v>133333.33333333334</v>
          </cell>
          <cell r="M13">
            <v>133333.33333333334</v>
          </cell>
          <cell r="O13">
            <v>133333.33333333334</v>
          </cell>
          <cell r="Q13">
            <v>133333.33333333334</v>
          </cell>
          <cell r="S13">
            <v>133333.33333333334</v>
          </cell>
          <cell r="U13">
            <v>133333.33333333334</v>
          </cell>
          <cell r="W13">
            <v>133333.33333333334</v>
          </cell>
          <cell r="Y13">
            <v>133333.33333333334</v>
          </cell>
          <cell r="AA13">
            <v>133333.33333333334</v>
          </cell>
          <cell r="AC13">
            <v>133333.33333333334</v>
          </cell>
          <cell r="AE13">
            <v>1599999.9999999998</v>
          </cell>
          <cell r="AH13">
            <v>800000.00000000012</v>
          </cell>
        </row>
        <row r="14">
          <cell r="D14" t="str">
            <v xml:space="preserve">Contributions retained </v>
          </cell>
          <cell r="E14" t="str">
            <v>2381</v>
          </cell>
          <cell r="G14">
            <v>205083.33333333334</v>
          </cell>
          <cell r="I14">
            <v>205083.33333333334</v>
          </cell>
          <cell r="K14">
            <v>205083.33333333334</v>
          </cell>
          <cell r="M14">
            <v>205083.33333333334</v>
          </cell>
          <cell r="O14">
            <v>205083.33333333334</v>
          </cell>
          <cell r="Q14">
            <v>205083.33333333334</v>
          </cell>
          <cell r="S14">
            <v>205083.33333333334</v>
          </cell>
          <cell r="U14">
            <v>205083.33333333334</v>
          </cell>
          <cell r="W14">
            <v>205083.33333333334</v>
          </cell>
          <cell r="Y14">
            <v>205083.33333333334</v>
          </cell>
          <cell r="AA14">
            <v>205083.33333333334</v>
          </cell>
          <cell r="AC14">
            <v>205083.33333333334</v>
          </cell>
          <cell r="AE14">
            <v>2461000</v>
          </cell>
          <cell r="AH14">
            <v>1230500</v>
          </cell>
        </row>
        <row r="15">
          <cell r="D15" t="str">
            <v>UW/comm mat/power blst/vol events</v>
          </cell>
          <cell r="E15">
            <v>1283</v>
          </cell>
          <cell r="G15">
            <v>34250</v>
          </cell>
          <cell r="I15">
            <v>34250</v>
          </cell>
          <cell r="K15">
            <v>34250</v>
          </cell>
          <cell r="M15">
            <v>34250</v>
          </cell>
          <cell r="O15">
            <v>34250</v>
          </cell>
          <cell r="Q15">
            <v>34250</v>
          </cell>
          <cell r="S15">
            <v>34250</v>
          </cell>
          <cell r="U15">
            <v>34250</v>
          </cell>
          <cell r="W15">
            <v>34250</v>
          </cell>
          <cell r="Y15">
            <v>34250</v>
          </cell>
          <cell r="AA15">
            <v>34250</v>
          </cell>
          <cell r="AC15">
            <v>34250</v>
          </cell>
          <cell r="AE15">
            <v>411000</v>
          </cell>
          <cell r="AH15">
            <v>205500</v>
          </cell>
        </row>
        <row r="16">
          <cell r="D16" t="str">
            <v>Deferred Compensation</v>
          </cell>
          <cell r="E16" t="str">
            <v>2309/10</v>
          </cell>
          <cell r="G16">
            <v>804416.66666666663</v>
          </cell>
          <cell r="I16">
            <v>804416.66666666663</v>
          </cell>
          <cell r="K16">
            <v>804416.66666666663</v>
          </cell>
          <cell r="M16">
            <v>804416.66666666663</v>
          </cell>
          <cell r="O16">
            <v>804416.66666666663</v>
          </cell>
          <cell r="Q16">
            <v>804416.66666666663</v>
          </cell>
          <cell r="S16">
            <v>804416.66666666663</v>
          </cell>
          <cell r="U16">
            <v>804416.66666666663</v>
          </cell>
          <cell r="W16">
            <v>804416.66666666663</v>
          </cell>
          <cell r="Y16">
            <v>804416.66666666663</v>
          </cell>
          <cell r="AA16">
            <v>804416.66666666663</v>
          </cell>
          <cell r="AC16">
            <v>804416.66666666663</v>
          </cell>
          <cell r="AE16">
            <v>9653000</v>
          </cell>
          <cell r="AH16">
            <v>4826500</v>
          </cell>
        </row>
        <row r="17">
          <cell r="D17" t="str">
            <v>Staff - UW/EIS</v>
          </cell>
          <cell r="E17">
            <v>2002</v>
          </cell>
          <cell r="G17">
            <v>10833.333333333334</v>
          </cell>
          <cell r="I17">
            <v>10833.333333333334</v>
          </cell>
          <cell r="K17">
            <v>10833.333333333334</v>
          </cell>
          <cell r="M17">
            <v>10833.333333333334</v>
          </cell>
          <cell r="O17">
            <v>10833.333333333334</v>
          </cell>
          <cell r="Q17">
            <v>10833.333333333334</v>
          </cell>
          <cell r="S17">
            <v>10833.333333333334</v>
          </cell>
          <cell r="U17">
            <v>10833.333333333334</v>
          </cell>
          <cell r="W17">
            <v>10833.333333333334</v>
          </cell>
          <cell r="Y17">
            <v>10833.333333333334</v>
          </cell>
          <cell r="AA17">
            <v>10833.333333333334</v>
          </cell>
          <cell r="AC17">
            <v>10833.333333333334</v>
          </cell>
          <cell r="AE17">
            <v>129999.99999999999</v>
          </cell>
          <cell r="AH17">
            <v>65000.000000000007</v>
          </cell>
        </row>
        <row r="18">
          <cell r="D18" t="str">
            <v>Stadium</v>
          </cell>
          <cell r="E18">
            <v>1144</v>
          </cell>
          <cell r="G18">
            <v>8333.3333333333339</v>
          </cell>
          <cell r="I18">
            <v>8333.3333333333339</v>
          </cell>
          <cell r="K18">
            <v>8333.3333333333339</v>
          </cell>
          <cell r="M18">
            <v>8333.3333333333339</v>
          </cell>
          <cell r="O18">
            <v>8333.3333333333339</v>
          </cell>
          <cell r="Q18">
            <v>8333.3333333333339</v>
          </cell>
          <cell r="S18">
            <v>8333.3333333333339</v>
          </cell>
          <cell r="U18">
            <v>8333.3333333333339</v>
          </cell>
          <cell r="W18">
            <v>8333.3333333333339</v>
          </cell>
          <cell r="Y18">
            <v>8333.3333333333339</v>
          </cell>
          <cell r="AA18">
            <v>8333.3333333333339</v>
          </cell>
          <cell r="AC18">
            <v>8333.3333333333339</v>
          </cell>
          <cell r="AE18">
            <v>99999.999999999985</v>
          </cell>
          <cell r="AH18">
            <v>50000.000000000007</v>
          </cell>
        </row>
        <row r="19">
          <cell r="D19" t="str">
            <v>Enron Power Blast</v>
          </cell>
          <cell r="E19">
            <v>1136</v>
          </cell>
          <cell r="G19">
            <v>6250</v>
          </cell>
          <cell r="I19">
            <v>6250</v>
          </cell>
          <cell r="K19">
            <v>6250</v>
          </cell>
          <cell r="M19">
            <v>6250</v>
          </cell>
          <cell r="O19">
            <v>6250</v>
          </cell>
          <cell r="Q19">
            <v>6250</v>
          </cell>
          <cell r="S19">
            <v>6250</v>
          </cell>
          <cell r="U19">
            <v>6250</v>
          </cell>
          <cell r="W19">
            <v>6250</v>
          </cell>
          <cell r="Y19">
            <v>6250</v>
          </cell>
          <cell r="AA19">
            <v>6250</v>
          </cell>
          <cell r="AC19">
            <v>6250</v>
          </cell>
          <cell r="AE19">
            <v>75000</v>
          </cell>
          <cell r="AH19">
            <v>37500</v>
          </cell>
        </row>
        <row r="20">
          <cell r="D20" t="str">
            <v>Communication Materials</v>
          </cell>
          <cell r="E20">
            <v>1135</v>
          </cell>
          <cell r="G20">
            <v>15500</v>
          </cell>
          <cell r="I20">
            <v>15500</v>
          </cell>
          <cell r="K20">
            <v>15500</v>
          </cell>
          <cell r="M20">
            <v>15500</v>
          </cell>
          <cell r="O20">
            <v>15500</v>
          </cell>
          <cell r="Q20">
            <v>15500</v>
          </cell>
          <cell r="S20">
            <v>15500</v>
          </cell>
          <cell r="U20">
            <v>15500</v>
          </cell>
          <cell r="W20">
            <v>15500</v>
          </cell>
          <cell r="Y20">
            <v>15500</v>
          </cell>
          <cell r="AA20">
            <v>15500</v>
          </cell>
          <cell r="AC20">
            <v>15500</v>
          </cell>
          <cell r="AE20">
            <v>186000</v>
          </cell>
          <cell r="AH20">
            <v>93000</v>
          </cell>
        </row>
        <row r="21">
          <cell r="D21" t="str">
            <v>UW Kick off</v>
          </cell>
          <cell r="E21">
            <v>1283</v>
          </cell>
          <cell r="G21">
            <v>4166.666666666667</v>
          </cell>
          <cell r="I21">
            <v>4166.666666666667</v>
          </cell>
          <cell r="K21">
            <v>4166.666666666667</v>
          </cell>
          <cell r="M21">
            <v>4166.666666666667</v>
          </cell>
          <cell r="O21">
            <v>4166.666666666667</v>
          </cell>
          <cell r="Q21">
            <v>4166.666666666667</v>
          </cell>
          <cell r="S21">
            <v>4166.666666666667</v>
          </cell>
          <cell r="U21">
            <v>4166.666666666667</v>
          </cell>
          <cell r="W21">
            <v>4166.666666666667</v>
          </cell>
          <cell r="Y21">
            <v>4166.666666666667</v>
          </cell>
          <cell r="AA21">
            <v>4166.666666666667</v>
          </cell>
          <cell r="AC21">
            <v>4166.666666666667</v>
          </cell>
          <cell r="AE21">
            <v>49999.999999999993</v>
          </cell>
          <cell r="AH21">
            <v>25000.000000000004</v>
          </cell>
        </row>
        <row r="22">
          <cell r="D22" t="str">
            <v>Executive consultants</v>
          </cell>
          <cell r="E22">
            <v>89</v>
          </cell>
          <cell r="G22">
            <v>11083.333333333334</v>
          </cell>
          <cell r="I22">
            <v>11083.333333333334</v>
          </cell>
          <cell r="K22">
            <v>11083.333333333334</v>
          </cell>
          <cell r="M22">
            <v>11083.333333333334</v>
          </cell>
          <cell r="O22">
            <v>11083.333333333334</v>
          </cell>
          <cell r="Q22">
            <v>11083.333333333334</v>
          </cell>
          <cell r="S22">
            <v>11083.333333333334</v>
          </cell>
          <cell r="U22">
            <v>11083.333333333334</v>
          </cell>
          <cell r="W22">
            <v>11083.333333333334</v>
          </cell>
          <cell r="Y22">
            <v>11083.333333333334</v>
          </cell>
          <cell r="AA22">
            <v>11083.333333333334</v>
          </cell>
          <cell r="AC22">
            <v>11083.333333333334</v>
          </cell>
          <cell r="AE22">
            <v>132999.99999999997</v>
          </cell>
          <cell r="AH22">
            <v>66500</v>
          </cell>
        </row>
        <row r="23">
          <cell r="D23" t="str">
            <v>Corp Mkt - Local advertising</v>
          </cell>
          <cell r="E23">
            <v>302</v>
          </cell>
          <cell r="G23">
            <v>60416.666666666664</v>
          </cell>
          <cell r="I23">
            <v>60416.666666666664</v>
          </cell>
          <cell r="K23">
            <v>60416.666666666664</v>
          </cell>
          <cell r="M23">
            <v>60416.666666666664</v>
          </cell>
          <cell r="O23">
            <v>60416.666666666664</v>
          </cell>
          <cell r="Q23">
            <v>60416.666666666664</v>
          </cell>
          <cell r="S23">
            <v>60416.666666666664</v>
          </cell>
          <cell r="U23">
            <v>60416.666666666664</v>
          </cell>
          <cell r="W23">
            <v>60416.666666666664</v>
          </cell>
          <cell r="Y23">
            <v>60416.666666666664</v>
          </cell>
          <cell r="AA23">
            <v>60416.666666666664</v>
          </cell>
          <cell r="AC23">
            <v>60416.666666666664</v>
          </cell>
          <cell r="AE23">
            <v>724999.99999999988</v>
          </cell>
          <cell r="AH23">
            <v>362500</v>
          </cell>
        </row>
        <row r="24">
          <cell r="D24" t="str">
            <v>PAC</v>
          </cell>
          <cell r="E24">
            <v>309</v>
          </cell>
          <cell r="G24">
            <v>4166.666666666667</v>
          </cell>
          <cell r="I24">
            <v>4166.666666666667</v>
          </cell>
          <cell r="K24">
            <v>4166.666666666667</v>
          </cell>
          <cell r="M24">
            <v>4166.666666666667</v>
          </cell>
          <cell r="O24">
            <v>4166.666666666667</v>
          </cell>
          <cell r="Q24">
            <v>4166.666666666667</v>
          </cell>
          <cell r="S24">
            <v>4166.666666666667</v>
          </cell>
          <cell r="U24">
            <v>4166.666666666667</v>
          </cell>
          <cell r="W24">
            <v>4166.666666666667</v>
          </cell>
          <cell r="Y24">
            <v>4166.666666666667</v>
          </cell>
          <cell r="AA24">
            <v>4166.666666666667</v>
          </cell>
          <cell r="AC24">
            <v>4166.666666666667</v>
          </cell>
          <cell r="AE24">
            <v>49999.999999999993</v>
          </cell>
          <cell r="AH24">
            <v>25000.000000000004</v>
          </cell>
        </row>
        <row r="25">
          <cell r="D25" t="str">
            <v>Corp Dev not billed out</v>
          </cell>
          <cell r="E25">
            <v>460</v>
          </cell>
          <cell r="G25">
            <v>176166.66666666666</v>
          </cell>
          <cell r="I25">
            <v>176166.66666666666</v>
          </cell>
          <cell r="K25">
            <v>176166.66666666666</v>
          </cell>
          <cell r="M25">
            <v>176166.66666666666</v>
          </cell>
          <cell r="O25">
            <v>176166.66666666666</v>
          </cell>
          <cell r="Q25">
            <v>176166.66666666666</v>
          </cell>
          <cell r="S25">
            <v>176166.66666666666</v>
          </cell>
          <cell r="U25">
            <v>176166.66666666666</v>
          </cell>
          <cell r="W25">
            <v>176166.66666666666</v>
          </cell>
          <cell r="Y25">
            <v>176166.66666666666</v>
          </cell>
          <cell r="AA25">
            <v>176166.66666666666</v>
          </cell>
          <cell r="AC25">
            <v>176166.66666666666</v>
          </cell>
          <cell r="AE25">
            <v>2114000.0000000005</v>
          </cell>
          <cell r="AH25">
            <v>1057000</v>
          </cell>
        </row>
        <row r="26">
          <cell r="D26" t="str">
            <v>MLP services not billed out</v>
          </cell>
          <cell r="E26">
            <v>611</v>
          </cell>
          <cell r="G26">
            <v>5250</v>
          </cell>
          <cell r="I26">
            <v>5250</v>
          </cell>
          <cell r="K26">
            <v>5250</v>
          </cell>
          <cell r="M26">
            <v>5250</v>
          </cell>
          <cell r="O26">
            <v>5250</v>
          </cell>
          <cell r="Q26">
            <v>5250</v>
          </cell>
          <cell r="S26">
            <v>5250</v>
          </cell>
          <cell r="U26">
            <v>5250</v>
          </cell>
          <cell r="W26">
            <v>5250</v>
          </cell>
          <cell r="Y26">
            <v>5250</v>
          </cell>
          <cell r="AA26">
            <v>5250</v>
          </cell>
          <cell r="AC26">
            <v>5250</v>
          </cell>
          <cell r="AE26">
            <v>63000</v>
          </cell>
          <cell r="AH26">
            <v>31500</v>
          </cell>
        </row>
        <row r="27">
          <cell r="D27" t="str">
            <v>Vice Chairman - harrison</v>
          </cell>
          <cell r="E27">
            <v>1268</v>
          </cell>
          <cell r="G27">
            <v>36500</v>
          </cell>
          <cell r="I27">
            <v>36500</v>
          </cell>
          <cell r="K27">
            <v>36500</v>
          </cell>
          <cell r="M27">
            <v>36500</v>
          </cell>
          <cell r="O27">
            <v>36500</v>
          </cell>
          <cell r="Q27">
            <v>36500</v>
          </cell>
          <cell r="S27">
            <v>36500</v>
          </cell>
          <cell r="U27">
            <v>36500</v>
          </cell>
          <cell r="W27">
            <v>36500</v>
          </cell>
          <cell r="Y27">
            <v>36500</v>
          </cell>
          <cell r="AA27">
            <v>36500</v>
          </cell>
          <cell r="AC27">
            <v>36500</v>
          </cell>
          <cell r="AE27">
            <v>438000</v>
          </cell>
          <cell r="AH27">
            <v>219000</v>
          </cell>
        </row>
        <row r="28">
          <cell r="D28" t="str">
            <v>SR vp - hirko</v>
          </cell>
          <cell r="E28">
            <v>1280</v>
          </cell>
          <cell r="G28">
            <v>27083.333333333332</v>
          </cell>
          <cell r="I28">
            <v>27083.333333333332</v>
          </cell>
          <cell r="K28">
            <v>27083.333333333332</v>
          </cell>
          <cell r="M28">
            <v>27083.333333333332</v>
          </cell>
          <cell r="O28">
            <v>27083.333333333332</v>
          </cell>
          <cell r="Q28">
            <v>27083.333333333332</v>
          </cell>
          <cell r="S28">
            <v>27083.333333333332</v>
          </cell>
          <cell r="U28">
            <v>27083.333333333332</v>
          </cell>
          <cell r="W28">
            <v>27083.333333333332</v>
          </cell>
          <cell r="Y28">
            <v>27083.333333333332</v>
          </cell>
          <cell r="AA28">
            <v>27083.333333333332</v>
          </cell>
          <cell r="AC28">
            <v>27083.333333333332</v>
          </cell>
          <cell r="AE28">
            <v>325000</v>
          </cell>
          <cell r="AH28">
            <v>162500</v>
          </cell>
        </row>
        <row r="29">
          <cell r="D29" t="str">
            <v xml:space="preserve">Contributions retained </v>
          </cell>
          <cell r="E29">
            <v>2381</v>
          </cell>
          <cell r="G29">
            <v>205083.33333333334</v>
          </cell>
          <cell r="I29">
            <v>205083.33333333334</v>
          </cell>
          <cell r="K29">
            <v>205083.33333333334</v>
          </cell>
          <cell r="M29">
            <v>205083.33333333334</v>
          </cell>
          <cell r="O29">
            <v>205083.33333333334</v>
          </cell>
          <cell r="Q29">
            <v>205083.33333333334</v>
          </cell>
          <cell r="S29">
            <v>205083.33333333334</v>
          </cell>
          <cell r="U29">
            <v>205083.33333333334</v>
          </cell>
          <cell r="W29">
            <v>205083.33333333334</v>
          </cell>
          <cell r="Y29">
            <v>205083.33333333334</v>
          </cell>
          <cell r="AA29">
            <v>205083.33333333334</v>
          </cell>
          <cell r="AC29">
            <v>205083.33333333334</v>
          </cell>
          <cell r="AE29">
            <v>2461000</v>
          </cell>
          <cell r="AH29">
            <v>1230500</v>
          </cell>
        </row>
        <row r="30">
          <cell r="D30" t="str">
            <v>Control group</v>
          </cell>
          <cell r="E30" t="str">
            <v>xxx</v>
          </cell>
          <cell r="G30">
            <v>175000</v>
          </cell>
          <cell r="I30">
            <v>175000</v>
          </cell>
          <cell r="K30">
            <v>175000</v>
          </cell>
          <cell r="M30">
            <v>175000</v>
          </cell>
          <cell r="O30">
            <v>175000</v>
          </cell>
          <cell r="Q30">
            <v>175000</v>
          </cell>
          <cell r="S30">
            <v>175000</v>
          </cell>
          <cell r="U30">
            <v>175000</v>
          </cell>
          <cell r="W30">
            <v>175000</v>
          </cell>
          <cell r="Y30">
            <v>175000</v>
          </cell>
          <cell r="AA30">
            <v>175000</v>
          </cell>
          <cell r="AC30">
            <v>175000</v>
          </cell>
          <cell r="AE30">
            <v>2100000</v>
          </cell>
          <cell r="AH30">
            <v>1050000</v>
          </cell>
        </row>
        <row r="31">
          <cell r="D31" t="str">
            <v>Increase in AA rent subsidy</v>
          </cell>
          <cell r="E31">
            <v>408</v>
          </cell>
          <cell r="M31">
            <v>25000</v>
          </cell>
          <cell r="O31">
            <v>25000</v>
          </cell>
          <cell r="Q31">
            <v>25000</v>
          </cell>
          <cell r="S31">
            <v>25000</v>
          </cell>
          <cell r="U31">
            <v>25000</v>
          </cell>
          <cell r="W31">
            <v>25000</v>
          </cell>
          <cell r="Y31">
            <v>25000</v>
          </cell>
          <cell r="AA31">
            <v>25000</v>
          </cell>
          <cell r="AC31">
            <v>25000</v>
          </cell>
          <cell r="AE31">
            <v>225000</v>
          </cell>
          <cell r="AH31">
            <v>75000</v>
          </cell>
        </row>
        <row r="32">
          <cell r="D32" t="str">
            <v>Incr in MMF retained costs</v>
          </cell>
          <cell r="E32" t="str">
            <v>0004</v>
          </cell>
          <cell r="M32">
            <v>622222.22222222225</v>
          </cell>
          <cell r="O32">
            <v>622222.22222222225</v>
          </cell>
          <cell r="Q32">
            <v>622222.22222222225</v>
          </cell>
          <cell r="S32">
            <v>622222.22222222225</v>
          </cell>
          <cell r="U32">
            <v>622222.22222222225</v>
          </cell>
          <cell r="W32">
            <v>622222.22222222225</v>
          </cell>
          <cell r="Y32">
            <v>622222.22222222225</v>
          </cell>
          <cell r="AA32">
            <v>622222.22222222225</v>
          </cell>
          <cell r="AC32">
            <v>622222.22222222225</v>
          </cell>
          <cell r="AE32">
            <v>5599999.9999999991</v>
          </cell>
          <cell r="AH32">
            <v>1866666.6666666667</v>
          </cell>
        </row>
        <row r="33">
          <cell r="D33" t="str">
            <v>Accrual catchup</v>
          </cell>
          <cell r="O33">
            <v>500000</v>
          </cell>
          <cell r="Q33">
            <v>500000</v>
          </cell>
          <cell r="S33">
            <v>500000</v>
          </cell>
          <cell r="U33">
            <v>500000</v>
          </cell>
          <cell r="W33">
            <v>500000</v>
          </cell>
          <cell r="Y33">
            <v>500000</v>
          </cell>
          <cell r="AA33">
            <v>500000</v>
          </cell>
          <cell r="AC33">
            <v>500000</v>
          </cell>
          <cell r="AE33">
            <v>4000000</v>
          </cell>
          <cell r="AH33">
            <v>1000000</v>
          </cell>
        </row>
        <row r="34">
          <cell r="D34" t="str">
            <v>SAP Blue Print Exp</v>
          </cell>
          <cell r="W34">
            <v>3500000</v>
          </cell>
          <cell r="AC34">
            <v>3500000</v>
          </cell>
          <cell r="AE34">
            <v>7000000</v>
          </cell>
          <cell r="AH34">
            <v>0</v>
          </cell>
        </row>
        <row r="35">
          <cell r="D35" t="str">
            <v>Enron Day around the World</v>
          </cell>
          <cell r="O35">
            <v>1500000</v>
          </cell>
          <cell r="AE35">
            <v>1500000</v>
          </cell>
          <cell r="AH35">
            <v>1500000</v>
          </cell>
        </row>
        <row r="36">
          <cell r="D36" t="str">
            <v>EES Regulatory Cost Subsidy</v>
          </cell>
          <cell r="O36">
            <v>0</v>
          </cell>
          <cell r="Q36">
            <v>7400000</v>
          </cell>
          <cell r="S36">
            <v>750000</v>
          </cell>
          <cell r="U36">
            <v>750000</v>
          </cell>
          <cell r="W36">
            <v>800000</v>
          </cell>
          <cell r="Y36">
            <v>750000</v>
          </cell>
          <cell r="AA36">
            <v>750000</v>
          </cell>
          <cell r="AC36">
            <v>800000</v>
          </cell>
          <cell r="AE36">
            <v>12000000</v>
          </cell>
          <cell r="AH36">
            <v>7400000</v>
          </cell>
        </row>
        <row r="37">
          <cell r="AE37">
            <v>0</v>
          </cell>
          <cell r="AH37">
            <v>0</v>
          </cell>
        </row>
        <row r="38">
          <cell r="D38" t="str">
            <v>Other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H38">
            <v>0</v>
          </cell>
        </row>
        <row r="39">
          <cell r="D39" t="str">
            <v>Total Corporate Retained</v>
          </cell>
          <cell r="G39">
            <v>4244390.833333334</v>
          </cell>
          <cell r="I39">
            <v>4244390.833333334</v>
          </cell>
          <cell r="K39">
            <v>4244390.833333334</v>
          </cell>
          <cell r="M39">
            <v>4891613.055555556</v>
          </cell>
          <cell r="O39">
            <v>6891613.055555556</v>
          </cell>
          <cell r="Q39">
            <v>12791613.055555556</v>
          </cell>
          <cell r="S39">
            <v>6141613.055555556</v>
          </cell>
          <cell r="U39">
            <v>6141613.055555556</v>
          </cell>
          <cell r="W39">
            <v>9691613.055555556</v>
          </cell>
          <cell r="Y39">
            <v>6141613.055555556</v>
          </cell>
          <cell r="AA39">
            <v>6141613.055555556</v>
          </cell>
          <cell r="AC39">
            <v>9691613.055555556</v>
          </cell>
          <cell r="AE39">
            <v>81257690</v>
          </cell>
          <cell r="AH39">
            <v>37308011.666666672</v>
          </cell>
        </row>
        <row r="40">
          <cell r="B40" t="str">
            <v>EPSC - 901 - overrecovery</v>
          </cell>
          <cell r="G40">
            <v>-145833.33333333334</v>
          </cell>
          <cell r="I40">
            <v>-145833.33333333334</v>
          </cell>
          <cell r="K40">
            <v>-145833.33333333334</v>
          </cell>
          <cell r="M40">
            <v>-145833.33333333334</v>
          </cell>
          <cell r="O40">
            <v>-145833.33333333334</v>
          </cell>
          <cell r="Q40">
            <v>-145833.33333333334</v>
          </cell>
          <cell r="S40">
            <v>-145833.33333333334</v>
          </cell>
          <cell r="U40">
            <v>-145833.33333333334</v>
          </cell>
          <cell r="W40">
            <v>-145833.33333333334</v>
          </cell>
          <cell r="Y40">
            <v>-145833.33333333334</v>
          </cell>
          <cell r="AA40">
            <v>-145833.33333333334</v>
          </cell>
          <cell r="AC40">
            <v>-145833.33333333334</v>
          </cell>
          <cell r="AE40">
            <v>-1749999.9999999998</v>
          </cell>
          <cell r="AH40">
            <v>-875000.00000000012</v>
          </cell>
        </row>
        <row r="41">
          <cell r="B41" t="str">
            <v>Corporate Shared Services - 426</v>
          </cell>
        </row>
        <row r="42">
          <cell r="D42" t="str">
            <v>ASOP Billings</v>
          </cell>
          <cell r="E42">
            <v>2320</v>
          </cell>
          <cell r="G42">
            <v>-1558333.3333333333</v>
          </cell>
          <cell r="I42">
            <v>-1558333.3333333333</v>
          </cell>
          <cell r="K42">
            <v>-1558333.3333333333</v>
          </cell>
          <cell r="M42">
            <v>-1558333.3333333333</v>
          </cell>
          <cell r="O42">
            <v>-1558333.3333333333</v>
          </cell>
          <cell r="Q42">
            <v>-1558333.3333333333</v>
          </cell>
          <cell r="S42">
            <v>-1558333.3333333333</v>
          </cell>
          <cell r="U42">
            <v>-1558333.3333333333</v>
          </cell>
          <cell r="W42">
            <v>-1558333.3333333333</v>
          </cell>
          <cell r="Y42">
            <v>-1558333.3333333333</v>
          </cell>
          <cell r="AA42">
            <v>-1558333.3333333333</v>
          </cell>
          <cell r="AC42">
            <v>-1558333.3333333333</v>
          </cell>
          <cell r="AE42">
            <v>-18700000</v>
          </cell>
          <cell r="AH42">
            <v>-9350000</v>
          </cell>
        </row>
        <row r="43">
          <cell r="D43" t="str">
            <v>Unplanned ASOP billings PGE</v>
          </cell>
          <cell r="E43">
            <v>2320</v>
          </cell>
          <cell r="G43">
            <v>0</v>
          </cell>
          <cell r="K43">
            <v>-1245000</v>
          </cell>
          <cell r="M43">
            <v>-415000</v>
          </cell>
          <cell r="O43">
            <v>-415000</v>
          </cell>
          <cell r="Q43">
            <v>-415000</v>
          </cell>
          <cell r="S43">
            <v>-415000</v>
          </cell>
          <cell r="U43">
            <v>-415000</v>
          </cell>
          <cell r="W43">
            <v>-415000</v>
          </cell>
          <cell r="Y43">
            <v>-415000</v>
          </cell>
          <cell r="AA43">
            <v>-415000</v>
          </cell>
          <cell r="AC43">
            <v>-415000</v>
          </cell>
          <cell r="AE43">
            <v>-4980000</v>
          </cell>
          <cell r="AH43">
            <v>-2490000</v>
          </cell>
        </row>
        <row r="44">
          <cell r="D44" t="str">
            <v>Stock Options 97 billed out</v>
          </cell>
          <cell r="E44">
            <v>2002</v>
          </cell>
          <cell r="G44">
            <v>-4230000</v>
          </cell>
          <cell r="K44">
            <v>1300000</v>
          </cell>
          <cell r="AE44">
            <v>-2930000</v>
          </cell>
          <cell r="AH44">
            <v>-2930000</v>
          </cell>
        </row>
        <row r="45">
          <cell r="D45" t="str">
            <v>COLI expense retained</v>
          </cell>
          <cell r="E45">
            <v>2338</v>
          </cell>
          <cell r="G45">
            <v>-90916.666666666672</v>
          </cell>
          <cell r="I45">
            <v>-90916.666666666672</v>
          </cell>
          <cell r="K45">
            <v>-90916.666666666672</v>
          </cell>
          <cell r="M45">
            <v>-90916.666666666672</v>
          </cell>
          <cell r="O45">
            <v>-90916.666666666672</v>
          </cell>
          <cell r="Q45">
            <v>-90916.666666666672</v>
          </cell>
          <cell r="S45">
            <v>-90916.666666666672</v>
          </cell>
          <cell r="U45">
            <v>-90916.666666666672</v>
          </cell>
          <cell r="W45">
            <v>-90916.666666666672</v>
          </cell>
          <cell r="Y45">
            <v>-90916.666666666672</v>
          </cell>
          <cell r="AA45">
            <v>-90916.666666666672</v>
          </cell>
          <cell r="AC45">
            <v>-90916.666666666672</v>
          </cell>
          <cell r="AE45">
            <v>-1090999.9999999998</v>
          </cell>
          <cell r="AH45">
            <v>-545500</v>
          </cell>
        </row>
        <row r="46">
          <cell r="D46" t="str">
            <v>Total</v>
          </cell>
          <cell r="G46">
            <v>-5879250</v>
          </cell>
          <cell r="I46">
            <v>-1649250</v>
          </cell>
          <cell r="K46">
            <v>-1594249.9999999998</v>
          </cell>
          <cell r="M46">
            <v>-2064250</v>
          </cell>
          <cell r="O46">
            <v>-2064250</v>
          </cell>
          <cell r="Q46">
            <v>-2064250</v>
          </cell>
          <cell r="S46">
            <v>-2064250</v>
          </cell>
          <cell r="U46">
            <v>-2064250</v>
          </cell>
          <cell r="W46">
            <v>-2064250</v>
          </cell>
          <cell r="Y46">
            <v>-2064250</v>
          </cell>
          <cell r="AA46">
            <v>-2064250</v>
          </cell>
          <cell r="AC46">
            <v>-2064250</v>
          </cell>
          <cell r="AE46">
            <v>-27701000</v>
          </cell>
          <cell r="AH46">
            <v>-15315500</v>
          </cell>
        </row>
        <row r="47">
          <cell r="B47" t="str">
            <v>Enron Management Inc - 001</v>
          </cell>
          <cell r="G47">
            <v>4512</v>
          </cell>
          <cell r="I47">
            <v>4512</v>
          </cell>
          <cell r="K47">
            <v>4512</v>
          </cell>
          <cell r="M47">
            <v>4512</v>
          </cell>
          <cell r="O47">
            <v>4512</v>
          </cell>
          <cell r="Q47">
            <v>4512</v>
          </cell>
          <cell r="S47">
            <v>4512</v>
          </cell>
          <cell r="U47">
            <v>4512</v>
          </cell>
          <cell r="W47">
            <v>4512</v>
          </cell>
          <cell r="Y47">
            <v>4512</v>
          </cell>
          <cell r="AA47">
            <v>4512</v>
          </cell>
          <cell r="AC47">
            <v>4512</v>
          </cell>
          <cell r="AE47">
            <v>54144</v>
          </cell>
          <cell r="AH47">
            <v>27072</v>
          </cell>
        </row>
        <row r="49">
          <cell r="A49" t="str">
            <v>Total COSTS RETAINED AT CORP</v>
          </cell>
          <cell r="G49">
            <v>-1776180.4999999991</v>
          </cell>
          <cell r="I49">
            <v>2453819.5000000009</v>
          </cell>
          <cell r="K49">
            <v>2508819.5000000009</v>
          </cell>
          <cell r="M49">
            <v>2686041.7222222225</v>
          </cell>
          <cell r="O49">
            <v>4686041.722222222</v>
          </cell>
          <cell r="Q49">
            <v>10586041.722222222</v>
          </cell>
          <cell r="S49">
            <v>3936041.7222222225</v>
          </cell>
          <cell r="U49">
            <v>3936041.7222222225</v>
          </cell>
          <cell r="W49">
            <v>7486041.722222222</v>
          </cell>
          <cell r="Y49">
            <v>3936041.7222222225</v>
          </cell>
          <cell r="AA49">
            <v>3936041.7222222225</v>
          </cell>
          <cell r="AC49">
            <v>7486041.722222222</v>
          </cell>
          <cell r="AE49">
            <v>51860834</v>
          </cell>
          <cell r="AH49">
            <v>21144583.666666672</v>
          </cell>
        </row>
        <row r="50">
          <cell r="E50" t="str">
            <v>Actuals</v>
          </cell>
          <cell r="G50">
            <v>-1104974.0000000002</v>
          </cell>
          <cell r="I50">
            <v>2071926</v>
          </cell>
          <cell r="K50">
            <v>6650000</v>
          </cell>
        </row>
        <row r="51">
          <cell r="E51" t="str">
            <v>Diff</v>
          </cell>
          <cell r="G51">
            <v>-671206.49999999884</v>
          </cell>
          <cell r="I51">
            <v>381893.50000000093</v>
          </cell>
          <cell r="K51">
            <v>-4141180.4999999991</v>
          </cell>
        </row>
        <row r="53">
          <cell r="A53" t="str">
            <v>Amortizations</v>
          </cell>
        </row>
        <row r="54">
          <cell r="B54" t="str">
            <v>Corporate - 011</v>
          </cell>
        </row>
        <row r="55">
          <cell r="C55" t="str">
            <v>Wing T-stock amortization</v>
          </cell>
          <cell r="E55" t="str">
            <v>1112</v>
          </cell>
          <cell r="G55">
            <v>109077</v>
          </cell>
          <cell r="I55">
            <v>0</v>
          </cell>
          <cell r="K55">
            <v>0</v>
          </cell>
          <cell r="M55">
            <v>109077</v>
          </cell>
          <cell r="O55">
            <v>0</v>
          </cell>
          <cell r="Q55">
            <v>0</v>
          </cell>
          <cell r="S55">
            <v>109077</v>
          </cell>
          <cell r="U55">
            <v>0</v>
          </cell>
          <cell r="W55">
            <v>0</v>
          </cell>
          <cell r="Y55">
            <v>109077</v>
          </cell>
          <cell r="AA55">
            <v>0</v>
          </cell>
          <cell r="AC55">
            <v>0</v>
          </cell>
          <cell r="AE55">
            <v>436308</v>
          </cell>
          <cell r="AH55">
            <v>218154</v>
          </cell>
        </row>
        <row r="56">
          <cell r="C56" t="str">
            <v>EOTT Trading System 23Q, not on Corp</v>
          </cell>
          <cell r="E56" t="str">
            <v>1112</v>
          </cell>
          <cell r="G56">
            <v>0</v>
          </cell>
          <cell r="I56">
            <v>0</v>
          </cell>
          <cell r="K56">
            <v>0</v>
          </cell>
          <cell r="M56">
            <v>0</v>
          </cell>
          <cell r="O56">
            <v>0</v>
          </cell>
          <cell r="Q56">
            <v>0</v>
          </cell>
          <cell r="S56">
            <v>0</v>
          </cell>
          <cell r="U56">
            <v>0</v>
          </cell>
          <cell r="W56">
            <v>0</v>
          </cell>
          <cell r="Y56">
            <v>0</v>
          </cell>
          <cell r="AA56">
            <v>0</v>
          </cell>
          <cell r="AC56">
            <v>0</v>
          </cell>
          <cell r="AE56">
            <v>0</v>
          </cell>
          <cell r="AH56">
            <v>0</v>
          </cell>
        </row>
        <row r="57">
          <cell r="C57" t="str">
            <v>Severance (Tucker) exp. 5/98</v>
          </cell>
          <cell r="E57" t="str">
            <v>1112</v>
          </cell>
          <cell r="G57">
            <v>23647</v>
          </cell>
          <cell r="I57">
            <v>0</v>
          </cell>
          <cell r="K57">
            <v>0</v>
          </cell>
          <cell r="M57">
            <v>38471.01</v>
          </cell>
          <cell r="O57">
            <v>0</v>
          </cell>
          <cell r="Q57">
            <v>0</v>
          </cell>
          <cell r="S57">
            <v>38471.01</v>
          </cell>
          <cell r="U57">
            <v>0</v>
          </cell>
          <cell r="W57">
            <v>0</v>
          </cell>
          <cell r="Y57">
            <v>38471.01</v>
          </cell>
          <cell r="AA57">
            <v>0</v>
          </cell>
          <cell r="AC57">
            <v>0</v>
          </cell>
          <cell r="AE57">
            <v>139060.03</v>
          </cell>
          <cell r="AH57">
            <v>62118.01</v>
          </cell>
        </row>
        <row r="58">
          <cell r="C58" t="str">
            <v>Severance (Alexander) exp. 12/97</v>
          </cell>
          <cell r="E58" t="str">
            <v>1112</v>
          </cell>
          <cell r="I58">
            <v>0</v>
          </cell>
          <cell r="K58">
            <v>0</v>
          </cell>
          <cell r="M58">
            <v>0</v>
          </cell>
          <cell r="O58">
            <v>0</v>
          </cell>
          <cell r="Q58">
            <v>0</v>
          </cell>
          <cell r="S58">
            <v>0</v>
          </cell>
          <cell r="U58">
            <v>0</v>
          </cell>
          <cell r="W58">
            <v>0</v>
          </cell>
          <cell r="Y58">
            <v>0</v>
          </cell>
          <cell r="AA58">
            <v>0</v>
          </cell>
          <cell r="AC58">
            <v>0</v>
          </cell>
          <cell r="AE58">
            <v>0</v>
          </cell>
          <cell r="AH58">
            <v>0</v>
          </cell>
        </row>
        <row r="59">
          <cell r="C59" t="str">
            <v>Closing Fee Amortization exp. 3/99</v>
          </cell>
          <cell r="E59" t="str">
            <v>1112</v>
          </cell>
          <cell r="G59">
            <v>83685</v>
          </cell>
          <cell r="I59">
            <v>0</v>
          </cell>
          <cell r="K59">
            <v>0</v>
          </cell>
          <cell r="M59">
            <v>83685</v>
          </cell>
          <cell r="S59">
            <v>83685</v>
          </cell>
          <cell r="Y59">
            <v>83685</v>
          </cell>
          <cell r="AC59">
            <v>250000</v>
          </cell>
          <cell r="AE59">
            <v>584740</v>
          </cell>
          <cell r="AH59">
            <v>167370</v>
          </cell>
        </row>
        <row r="60">
          <cell r="C60" t="str">
            <v>Equipment/ Furn &amp; Fix diff exp, 3/01</v>
          </cell>
          <cell r="E60" t="str">
            <v>1112</v>
          </cell>
          <cell r="G60">
            <v>0</v>
          </cell>
          <cell r="I60">
            <v>0</v>
          </cell>
          <cell r="K60">
            <v>0</v>
          </cell>
          <cell r="M60">
            <v>0</v>
          </cell>
          <cell r="O60">
            <v>0</v>
          </cell>
          <cell r="Q60">
            <v>0</v>
          </cell>
          <cell r="S60">
            <v>0</v>
          </cell>
          <cell r="U60">
            <v>0</v>
          </cell>
          <cell r="W60">
            <v>0</v>
          </cell>
          <cell r="Y60">
            <v>0</v>
          </cell>
          <cell r="AA60">
            <v>0</v>
          </cell>
          <cell r="AC60">
            <v>0</v>
          </cell>
          <cell r="AE60">
            <v>0</v>
          </cell>
          <cell r="AH60">
            <v>0</v>
          </cell>
        </row>
        <row r="61">
          <cell r="C61" t="str">
            <v>BRI payment for services exp. 9/03</v>
          </cell>
          <cell r="E61">
            <v>649</v>
          </cell>
          <cell r="G61">
            <v>0</v>
          </cell>
          <cell r="I61">
            <v>0</v>
          </cell>
          <cell r="K61">
            <v>0</v>
          </cell>
          <cell r="M61">
            <v>0</v>
          </cell>
          <cell r="O61">
            <v>0</v>
          </cell>
          <cell r="Q61">
            <v>0</v>
          </cell>
          <cell r="S61">
            <v>0</v>
          </cell>
          <cell r="U61">
            <v>0</v>
          </cell>
          <cell r="W61">
            <v>0</v>
          </cell>
          <cell r="Y61">
            <v>0</v>
          </cell>
          <cell r="AA61">
            <v>0</v>
          </cell>
          <cell r="AC61">
            <v>0</v>
          </cell>
          <cell r="AE61">
            <v>0</v>
          </cell>
          <cell r="AH61">
            <v>0</v>
          </cell>
        </row>
        <row r="62">
          <cell r="C62" t="str">
            <v>Deferred Consultants - amt two years</v>
          </cell>
          <cell r="E62">
            <v>89</v>
          </cell>
          <cell r="G62">
            <v>0</v>
          </cell>
          <cell r="I62">
            <v>573675</v>
          </cell>
          <cell r="K62">
            <v>0</v>
          </cell>
          <cell r="O62">
            <v>573675</v>
          </cell>
          <cell r="S62">
            <v>573675</v>
          </cell>
          <cell r="Y62">
            <v>573675</v>
          </cell>
          <cell r="AE62">
            <v>2294700</v>
          </cell>
          <cell r="AH62">
            <v>1147350</v>
          </cell>
        </row>
        <row r="63">
          <cell r="C63" t="str">
            <v>Litigation expense - sex harr suit</v>
          </cell>
          <cell r="G63">
            <v>50000</v>
          </cell>
          <cell r="I63">
            <v>0</v>
          </cell>
          <cell r="K63">
            <v>0</v>
          </cell>
          <cell r="AE63">
            <v>50000</v>
          </cell>
          <cell r="AH63">
            <v>50000</v>
          </cell>
        </row>
        <row r="64">
          <cell r="C64" t="str">
            <v>Corporate System amortization</v>
          </cell>
          <cell r="E64">
            <v>1112</v>
          </cell>
          <cell r="G64">
            <v>117186</v>
          </cell>
          <cell r="I64">
            <v>136944</v>
          </cell>
          <cell r="K64">
            <v>142986</v>
          </cell>
          <cell r="M64">
            <v>150000</v>
          </cell>
          <cell r="O64">
            <v>150000</v>
          </cell>
          <cell r="Q64">
            <v>150000</v>
          </cell>
          <cell r="S64">
            <v>150000</v>
          </cell>
          <cell r="U64">
            <v>150000</v>
          </cell>
          <cell r="W64">
            <v>150000</v>
          </cell>
          <cell r="Y64">
            <v>150000</v>
          </cell>
          <cell r="AA64">
            <v>150000</v>
          </cell>
          <cell r="AC64">
            <v>150000</v>
          </cell>
          <cell r="AE64">
            <v>1747116</v>
          </cell>
          <cell r="AH64">
            <v>847116</v>
          </cell>
        </row>
        <row r="65">
          <cell r="C65" t="str">
            <v>Belco Petroleum lawsuit amort exp 7/99</v>
          </cell>
          <cell r="G65">
            <v>0</v>
          </cell>
          <cell r="I65">
            <v>223228</v>
          </cell>
          <cell r="K65">
            <v>0</v>
          </cell>
          <cell r="M65">
            <v>0</v>
          </cell>
          <cell r="O65">
            <v>223228</v>
          </cell>
          <cell r="Q65">
            <v>0</v>
          </cell>
          <cell r="S65">
            <v>74000</v>
          </cell>
          <cell r="U65">
            <v>74000</v>
          </cell>
          <cell r="W65">
            <v>74000</v>
          </cell>
          <cell r="Y65">
            <v>74000</v>
          </cell>
          <cell r="AA65">
            <v>74000</v>
          </cell>
          <cell r="AC65">
            <v>74000</v>
          </cell>
          <cell r="AE65">
            <v>890456</v>
          </cell>
          <cell r="AH65">
            <v>446456</v>
          </cell>
        </row>
        <row r="66">
          <cell r="C66" t="str">
            <v>EOG corp srv agt/stock options</v>
          </cell>
          <cell r="I66">
            <v>378910</v>
          </cell>
          <cell r="O66">
            <v>378910</v>
          </cell>
          <cell r="S66">
            <v>150000</v>
          </cell>
          <cell r="U66">
            <v>150000</v>
          </cell>
          <cell r="W66">
            <v>207800</v>
          </cell>
          <cell r="Y66">
            <v>150000</v>
          </cell>
          <cell r="AA66">
            <v>150000</v>
          </cell>
          <cell r="AC66">
            <v>207800</v>
          </cell>
          <cell r="AE66">
            <v>1773420</v>
          </cell>
          <cell r="AH66">
            <v>757820</v>
          </cell>
        </row>
        <row r="67">
          <cell r="C67" t="str">
            <v>1997 Advertising</v>
          </cell>
          <cell r="K67">
            <v>1000000</v>
          </cell>
          <cell r="M67">
            <v>334000</v>
          </cell>
          <cell r="O67">
            <v>334000</v>
          </cell>
          <cell r="Q67">
            <v>334000</v>
          </cell>
          <cell r="S67">
            <v>1092000</v>
          </cell>
          <cell r="Y67">
            <v>1092000</v>
          </cell>
          <cell r="AE67">
            <v>4186000</v>
          </cell>
          <cell r="AH67">
            <v>2002000</v>
          </cell>
        </row>
        <row r="68">
          <cell r="C68" t="str">
            <v>Bankers trust - project theresa</v>
          </cell>
          <cell r="G68">
            <v>256250</v>
          </cell>
          <cell r="I68">
            <v>256250</v>
          </cell>
          <cell r="K68">
            <v>256250</v>
          </cell>
          <cell r="M68">
            <v>256250</v>
          </cell>
          <cell r="O68">
            <v>256250</v>
          </cell>
          <cell r="Q68">
            <v>256250</v>
          </cell>
          <cell r="S68">
            <v>406475</v>
          </cell>
          <cell r="Y68">
            <v>406475</v>
          </cell>
          <cell r="AE68">
            <v>2350450</v>
          </cell>
          <cell r="AH68">
            <v>1537500</v>
          </cell>
        </row>
        <row r="69">
          <cell r="C69" t="str">
            <v>Project Breakfast</v>
          </cell>
          <cell r="K69">
            <v>256000</v>
          </cell>
          <cell r="M69">
            <v>256000</v>
          </cell>
          <cell r="O69">
            <v>256000</v>
          </cell>
          <cell r="Q69">
            <v>256000</v>
          </cell>
          <cell r="S69">
            <v>256000</v>
          </cell>
          <cell r="Y69">
            <v>256000</v>
          </cell>
          <cell r="AE69">
            <v>1536000</v>
          </cell>
          <cell r="AH69">
            <v>1024000</v>
          </cell>
        </row>
        <row r="70">
          <cell r="C70" t="str">
            <v>Various other from Regina</v>
          </cell>
          <cell r="K70">
            <v>200000</v>
          </cell>
          <cell r="Q70">
            <v>200000</v>
          </cell>
          <cell r="S70">
            <v>200000</v>
          </cell>
          <cell r="Y70">
            <v>200000</v>
          </cell>
          <cell r="AE70">
            <v>800000</v>
          </cell>
          <cell r="AH70">
            <v>400000</v>
          </cell>
        </row>
        <row r="71">
          <cell r="C71" t="str">
            <v>NightHawk</v>
          </cell>
          <cell r="K71">
            <v>591386</v>
          </cell>
          <cell r="Q71">
            <v>591386</v>
          </cell>
          <cell r="S71">
            <v>591386</v>
          </cell>
          <cell r="Y71">
            <v>591386</v>
          </cell>
          <cell r="AE71">
            <v>2365544</v>
          </cell>
          <cell r="AH71">
            <v>1182772</v>
          </cell>
        </row>
        <row r="72">
          <cell r="C72" t="str">
            <v>EES start up amortization (32MM - 5 yrs)</v>
          </cell>
          <cell r="K72">
            <v>1400000</v>
          </cell>
          <cell r="Q72">
            <v>1400000</v>
          </cell>
          <cell r="S72">
            <v>1600000</v>
          </cell>
          <cell r="Y72">
            <v>1600000</v>
          </cell>
          <cell r="AE72">
            <v>6000000</v>
          </cell>
          <cell r="AH72">
            <v>2800000</v>
          </cell>
        </row>
        <row r="73">
          <cell r="C73" t="str">
            <v>Earth Smart (Brand Name from PG&amp;E)</v>
          </cell>
          <cell r="S73">
            <v>63000</v>
          </cell>
          <cell r="Y73">
            <v>42000</v>
          </cell>
          <cell r="AE73">
            <v>105000</v>
          </cell>
          <cell r="AH73">
            <v>0</v>
          </cell>
        </row>
        <row r="74">
          <cell r="C74" t="str">
            <v>Various other</v>
          </cell>
          <cell r="G74">
            <v>0</v>
          </cell>
          <cell r="I74">
            <v>0</v>
          </cell>
          <cell r="K74">
            <v>0</v>
          </cell>
          <cell r="M74">
            <v>300000</v>
          </cell>
          <cell r="O74">
            <v>300000</v>
          </cell>
          <cell r="Q74">
            <v>300000</v>
          </cell>
          <cell r="S74">
            <v>300000</v>
          </cell>
          <cell r="U74">
            <v>300000</v>
          </cell>
          <cell r="W74">
            <v>300000</v>
          </cell>
          <cell r="Y74">
            <v>300000</v>
          </cell>
          <cell r="AA74">
            <v>300000</v>
          </cell>
          <cell r="AC74">
            <v>300000</v>
          </cell>
          <cell r="AE74">
            <v>2700000</v>
          </cell>
          <cell r="AH74">
            <v>900000</v>
          </cell>
        </row>
        <row r="75">
          <cell r="C75" t="str">
            <v>Other</v>
          </cell>
          <cell r="E75" t="str">
            <v>1112</v>
          </cell>
          <cell r="G75">
            <v>0</v>
          </cell>
          <cell r="I75">
            <v>0</v>
          </cell>
          <cell r="K75">
            <v>0</v>
          </cell>
          <cell r="M75">
            <v>0</v>
          </cell>
          <cell r="O75">
            <v>0</v>
          </cell>
          <cell r="Q75">
            <v>0</v>
          </cell>
          <cell r="S75">
            <v>0</v>
          </cell>
          <cell r="U75">
            <v>0</v>
          </cell>
          <cell r="W75">
            <v>0</v>
          </cell>
          <cell r="Y75">
            <v>0</v>
          </cell>
          <cell r="AA75">
            <v>0</v>
          </cell>
          <cell r="AC75">
            <v>0</v>
          </cell>
          <cell r="AE75">
            <v>0</v>
          </cell>
          <cell r="AH75">
            <v>0</v>
          </cell>
        </row>
        <row r="76">
          <cell r="A76" t="str">
            <v>Total Corporate Amortizations</v>
          </cell>
          <cell r="G76">
            <v>639845</v>
          </cell>
          <cell r="I76">
            <v>1569007</v>
          </cell>
          <cell r="K76">
            <v>3846622</v>
          </cell>
          <cell r="M76">
            <v>1527483.01</v>
          </cell>
          <cell r="O76">
            <v>2472063</v>
          </cell>
          <cell r="Q76">
            <v>3487636</v>
          </cell>
          <cell r="S76">
            <v>5687769.0099999998</v>
          </cell>
          <cell r="U76">
            <v>674000</v>
          </cell>
          <cell r="W76">
            <v>731800</v>
          </cell>
          <cell r="Y76">
            <v>5666769.0099999998</v>
          </cell>
          <cell r="AA76">
            <v>674000</v>
          </cell>
          <cell r="AC76">
            <v>981800</v>
          </cell>
          <cell r="AE76">
            <v>27958794.030000001</v>
          </cell>
          <cell r="AH76">
            <v>13542656.01</v>
          </cell>
        </row>
        <row r="77">
          <cell r="K77">
            <v>6055474</v>
          </cell>
          <cell r="Q77">
            <v>13542656.01</v>
          </cell>
        </row>
        <row r="78">
          <cell r="A78" t="str">
            <v>Pacific Place Rent</v>
          </cell>
        </row>
        <row r="79">
          <cell r="D79" t="str">
            <v>Rental payment</v>
          </cell>
          <cell r="G79">
            <v>0</v>
          </cell>
          <cell r="I79">
            <v>0</v>
          </cell>
          <cell r="K79">
            <v>376321</v>
          </cell>
          <cell r="M79">
            <v>0</v>
          </cell>
          <cell r="O79">
            <v>0</v>
          </cell>
          <cell r="Q79">
            <v>376321</v>
          </cell>
          <cell r="S79">
            <v>363619</v>
          </cell>
          <cell r="U79">
            <v>0</v>
          </cell>
          <cell r="W79">
            <v>0</v>
          </cell>
          <cell r="Y79">
            <v>363619</v>
          </cell>
          <cell r="AA79">
            <v>0</v>
          </cell>
          <cell r="AC79">
            <v>0</v>
          </cell>
          <cell r="AE79">
            <v>1479880</v>
          </cell>
          <cell r="AH79">
            <v>752642</v>
          </cell>
        </row>
        <row r="80">
          <cell r="D80" t="str">
            <v>Billings to the Subsidiaries</v>
          </cell>
          <cell r="G80">
            <v>0</v>
          </cell>
          <cell r="I80">
            <v>0</v>
          </cell>
          <cell r="K80">
            <v>-632100</v>
          </cell>
          <cell r="M80">
            <v>0</v>
          </cell>
          <cell r="O80">
            <v>0</v>
          </cell>
          <cell r="Q80">
            <v>-632100</v>
          </cell>
          <cell r="S80">
            <v>-632100</v>
          </cell>
          <cell r="U80">
            <v>0</v>
          </cell>
          <cell r="W80">
            <v>0</v>
          </cell>
          <cell r="Y80">
            <v>-632100</v>
          </cell>
          <cell r="AA80">
            <v>0</v>
          </cell>
          <cell r="AC80">
            <v>0</v>
          </cell>
          <cell r="AE80">
            <v>-2528400</v>
          </cell>
          <cell r="AH80">
            <v>-1264200</v>
          </cell>
        </row>
        <row r="81">
          <cell r="E81" t="str">
            <v>0069</v>
          </cell>
          <cell r="G81">
            <v>0</v>
          </cell>
          <cell r="I81">
            <v>0</v>
          </cell>
          <cell r="K81">
            <v>-255779</v>
          </cell>
          <cell r="M81">
            <v>0</v>
          </cell>
          <cell r="O81">
            <v>0</v>
          </cell>
          <cell r="Q81">
            <v>-255779</v>
          </cell>
          <cell r="S81">
            <v>-268481</v>
          </cell>
          <cell r="U81">
            <v>0</v>
          </cell>
          <cell r="W81">
            <v>0</v>
          </cell>
          <cell r="Y81">
            <v>-268481</v>
          </cell>
          <cell r="AA81">
            <v>0</v>
          </cell>
          <cell r="AC81">
            <v>0</v>
          </cell>
          <cell r="AE81">
            <v>-1048520</v>
          </cell>
          <cell r="AH81">
            <v>-511558</v>
          </cell>
        </row>
        <row r="83">
          <cell r="A83" t="str">
            <v>Lease Expense-Software - exp 5/98</v>
          </cell>
        </row>
        <row r="84">
          <cell r="B84" t="str">
            <v>FUJI/Software Lease Accruals</v>
          </cell>
          <cell r="G84">
            <v>3820000</v>
          </cell>
          <cell r="M84">
            <v>3820000</v>
          </cell>
          <cell r="S84">
            <v>3820000</v>
          </cell>
          <cell r="Y84">
            <v>3820000</v>
          </cell>
          <cell r="AE84">
            <v>15280000</v>
          </cell>
          <cell r="AH84">
            <v>7640000</v>
          </cell>
        </row>
        <row r="85">
          <cell r="B85" t="str">
            <v>FUJI/Software Lease Allocation to Subsidiaries</v>
          </cell>
          <cell r="G85">
            <v>-482926</v>
          </cell>
          <cell r="I85">
            <v>-482926</v>
          </cell>
          <cell r="K85">
            <v>-482926</v>
          </cell>
          <cell r="M85">
            <v>-482926</v>
          </cell>
          <cell r="O85">
            <v>-482926</v>
          </cell>
          <cell r="Q85">
            <v>-482926</v>
          </cell>
          <cell r="S85">
            <v>-482926</v>
          </cell>
          <cell r="U85">
            <v>-482926</v>
          </cell>
          <cell r="W85">
            <v>-482926</v>
          </cell>
          <cell r="Y85">
            <v>-482926</v>
          </cell>
          <cell r="AA85">
            <v>-482926</v>
          </cell>
          <cell r="AC85">
            <v>-482926</v>
          </cell>
          <cell r="AE85">
            <v>-5795112</v>
          </cell>
          <cell r="AH85">
            <v>-2897556</v>
          </cell>
        </row>
        <row r="86">
          <cell r="A86" t="str">
            <v>Total Lease Expense - Software</v>
          </cell>
          <cell r="E86" t="str">
            <v>3333</v>
          </cell>
          <cell r="G86">
            <v>3337074</v>
          </cell>
          <cell r="I86">
            <v>-482926</v>
          </cell>
          <cell r="K86">
            <v>-482926</v>
          </cell>
          <cell r="M86">
            <v>3337074</v>
          </cell>
          <cell r="O86">
            <v>-482926</v>
          </cell>
          <cell r="Q86">
            <v>-482926</v>
          </cell>
          <cell r="S86">
            <v>3337074</v>
          </cell>
          <cell r="U86">
            <v>-482926</v>
          </cell>
          <cell r="W86">
            <v>-482926</v>
          </cell>
          <cell r="Y86">
            <v>3337074</v>
          </cell>
          <cell r="AA86">
            <v>-482926</v>
          </cell>
          <cell r="AC86">
            <v>-482926</v>
          </cell>
          <cell r="AE86">
            <v>9484888</v>
          </cell>
          <cell r="AH86">
            <v>4742444</v>
          </cell>
        </row>
        <row r="88">
          <cell r="A88" t="str">
            <v>Oasis Costs</v>
          </cell>
        </row>
        <row r="89">
          <cell r="B89" t="str">
            <v>Reorganization Agt</v>
          </cell>
          <cell r="G89">
            <v>0</v>
          </cell>
          <cell r="I89">
            <v>0</v>
          </cell>
          <cell r="K89">
            <v>163250</v>
          </cell>
          <cell r="O89">
            <v>300000</v>
          </cell>
          <cell r="Q89">
            <v>163250</v>
          </cell>
          <cell r="S89">
            <v>163250</v>
          </cell>
          <cell r="U89">
            <v>0</v>
          </cell>
          <cell r="W89">
            <v>0</v>
          </cell>
          <cell r="Y89">
            <v>163250</v>
          </cell>
          <cell r="AA89">
            <v>0</v>
          </cell>
          <cell r="AC89">
            <v>0</v>
          </cell>
          <cell r="AE89">
            <v>953000</v>
          </cell>
        </row>
        <row r="90">
          <cell r="B90" t="str">
            <v>Transport Agt</v>
          </cell>
          <cell r="G90">
            <v>233750</v>
          </cell>
          <cell r="I90">
            <v>233750</v>
          </cell>
          <cell r="K90">
            <v>233750</v>
          </cell>
          <cell r="M90">
            <v>233750</v>
          </cell>
          <cell r="O90">
            <v>233750</v>
          </cell>
          <cell r="Q90">
            <v>233750</v>
          </cell>
          <cell r="S90">
            <v>233750</v>
          </cell>
          <cell r="U90">
            <v>233750</v>
          </cell>
          <cell r="W90">
            <v>233750</v>
          </cell>
          <cell r="Y90">
            <v>233750</v>
          </cell>
          <cell r="AA90">
            <v>233750</v>
          </cell>
          <cell r="AC90">
            <v>233750</v>
          </cell>
          <cell r="AE90">
            <v>2805000</v>
          </cell>
        </row>
        <row r="92">
          <cell r="AH92">
            <v>38918125.67666667</v>
          </cell>
        </row>
        <row r="93">
          <cell r="A93" t="str">
            <v>Bankers trust total $12.1 to be amortized over four years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1">
    <pageSetUpPr fitToPage="1"/>
  </sheetPr>
  <dimension ref="A1:AO66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customWidth="1"/>
    <col min="4" max="4" width="1.7109375" style="1" customWidth="1"/>
    <col min="5" max="5" width="10.7109375" style="1" customWidth="1"/>
    <col min="6" max="6" width="1.7109375" style="1" customWidth="1"/>
    <col min="7" max="7" width="10.7109375" style="1" customWidth="1"/>
    <col min="8" max="8" width="1.7109375" style="1" customWidth="1"/>
    <col min="9" max="9" width="10.7109375" style="1" customWidth="1"/>
    <col min="10" max="10" width="1.7109375" style="1" customWidth="1"/>
    <col min="11" max="11" width="10.7109375" style="1" customWidth="1"/>
    <col min="12" max="12" width="1.7109375" style="1" customWidth="1"/>
    <col min="13" max="13" width="10.7109375" style="1" customWidth="1"/>
    <col min="14" max="14" width="1.7109375" style="1" customWidth="1"/>
    <col min="15" max="15" width="10.7109375" style="1" customWidth="1"/>
    <col min="16" max="16" width="1.7109375" style="1" customWidth="1"/>
    <col min="17" max="17" width="10.7109375" style="1" customWidth="1"/>
    <col min="18" max="18" width="1.7109375" style="1" customWidth="1"/>
    <col min="19" max="19" width="10.7109375" style="1" customWidth="1"/>
    <col min="20" max="20" width="1.7109375" style="1" customWidth="1"/>
    <col min="21" max="21" width="10.7109375" style="1" customWidth="1"/>
    <col min="22" max="22" width="1.7109375" style="1" customWidth="1"/>
    <col min="23" max="23" width="10.7109375" style="1" customWidth="1"/>
    <col min="24" max="24" width="1.7109375" style="1" customWidth="1"/>
    <col min="25" max="25" width="10.7109375" style="1" customWidth="1"/>
    <col min="26" max="26" width="1.7109375" style="1" customWidth="1"/>
    <col min="27" max="27" width="9.7109375" style="1" customWidth="1"/>
    <col min="28" max="28" width="1.7109375" style="1" customWidth="1"/>
    <col min="29" max="29" width="10.7109375" style="1" customWidth="1"/>
    <col min="30" max="30" width="1.7109375" style="1" customWidth="1"/>
    <col min="31" max="31" width="10.7109375" style="1" customWidth="1"/>
    <col min="32" max="32" width="1.7109375" style="1" customWidth="1"/>
    <col min="33" max="33" width="10.7109375" style="1" customWidth="1"/>
    <col min="34" max="34" width="1.7109375" style="1" customWidth="1"/>
    <col min="35" max="35" width="10.7109375" style="1" customWidth="1"/>
    <col min="36" max="36" width="1.7109375" style="1" customWidth="1"/>
    <col min="37" max="37" width="10.7109375" style="1" customWidth="1"/>
    <col min="38" max="38" width="1.7109375" style="1" customWidth="1"/>
    <col min="39" max="39" width="10.7109375" style="1" customWidth="1"/>
    <col min="40" max="40" width="8.5703125" style="1" customWidth="1"/>
    <col min="41" max="41" width="14.28515625" style="2"/>
    <col min="42" max="16384" width="14.285156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1211964</v>
      </c>
      <c r="D9" s="8"/>
      <c r="E9" s="9">
        <v>94496</v>
      </c>
      <c r="F9" s="7"/>
      <c r="G9" s="7">
        <v>59217</v>
      </c>
      <c r="H9" s="7"/>
      <c r="I9" s="7">
        <v>32183</v>
      </c>
      <c r="J9" s="7"/>
      <c r="K9" s="7">
        <v>112868</v>
      </c>
      <c r="L9" s="7"/>
      <c r="M9" s="7">
        <v>14006</v>
      </c>
      <c r="N9" s="7"/>
      <c r="O9" s="7">
        <v>1457</v>
      </c>
      <c r="P9" s="7"/>
      <c r="Q9" s="7">
        <v>4375</v>
      </c>
      <c r="R9" s="7"/>
      <c r="S9" s="7">
        <v>913</v>
      </c>
      <c r="T9" s="7"/>
      <c r="U9" s="7">
        <v>157889</v>
      </c>
      <c r="W9" s="7">
        <v>50852</v>
      </c>
      <c r="Y9" s="7">
        <f>36362-13248</f>
        <v>23114</v>
      </c>
      <c r="AA9" s="5">
        <v>81055</v>
      </c>
      <c r="AC9" s="7">
        <v>146037</v>
      </c>
      <c r="AE9" s="7">
        <v>6692</v>
      </c>
      <c r="AF9" s="7"/>
      <c r="AG9" s="7">
        <v>637</v>
      </c>
      <c r="AH9" s="7"/>
      <c r="AI9" s="7">
        <v>92269</v>
      </c>
      <c r="AJ9" s="7"/>
      <c r="AK9" s="7">
        <v>180838</v>
      </c>
      <c r="AL9" s="7"/>
      <c r="AM9" s="7">
        <v>153066</v>
      </c>
      <c r="AO9" s="2">
        <v>52000500</v>
      </c>
    </row>
    <row r="10" spans="1:41">
      <c r="A10" s="1" t="s">
        <v>24</v>
      </c>
      <c r="C10" s="7">
        <f t="shared" si="0"/>
        <v>204007</v>
      </c>
      <c r="D10" s="8"/>
      <c r="E10" s="9">
        <v>4637</v>
      </c>
      <c r="F10" s="7"/>
      <c r="G10" s="7">
        <v>3559</v>
      </c>
      <c r="H10" s="7"/>
      <c r="I10" s="7">
        <v>2608</v>
      </c>
      <c r="J10" s="7"/>
      <c r="K10" s="7">
        <v>2557</v>
      </c>
      <c r="L10" s="7"/>
      <c r="M10" s="23">
        <v>-8609</v>
      </c>
      <c r="N10" s="7"/>
      <c r="O10" s="7">
        <v>41</v>
      </c>
      <c r="P10" s="7"/>
      <c r="Q10" s="7">
        <v>115</v>
      </c>
      <c r="R10" s="7"/>
      <c r="S10" s="7">
        <v>102</v>
      </c>
      <c r="T10" s="7"/>
      <c r="U10" s="7">
        <v>26102</v>
      </c>
      <c r="W10" s="7">
        <v>2466</v>
      </c>
      <c r="Y10" s="7">
        <f>3588-3156</f>
        <v>432</v>
      </c>
      <c r="AA10" s="23">
        <v>-53</v>
      </c>
      <c r="AC10" s="7">
        <v>9218</v>
      </c>
      <c r="AE10" s="7">
        <v>679</v>
      </c>
      <c r="AF10" s="7"/>
      <c r="AG10" s="7">
        <v>87</v>
      </c>
      <c r="AH10" s="7"/>
      <c r="AI10" s="7">
        <v>964</v>
      </c>
      <c r="AJ10" s="7"/>
      <c r="AK10" s="7">
        <v>5874</v>
      </c>
      <c r="AL10" s="7"/>
      <c r="AM10" s="7">
        <v>153228</v>
      </c>
      <c r="AO10" s="2" t="s">
        <v>25</v>
      </c>
    </row>
    <row r="11" spans="1:41">
      <c r="A11" s="1" t="s">
        <v>26</v>
      </c>
      <c r="C11" s="7">
        <f t="shared" si="0"/>
        <v>185094</v>
      </c>
      <c r="D11" s="8"/>
      <c r="E11" s="9">
        <f>19+593+341+893+415+48+4723</f>
        <v>7032</v>
      </c>
      <c r="F11" s="7"/>
      <c r="G11" s="7">
        <f>72+340+1017+322+279+59+6452</f>
        <v>8541</v>
      </c>
      <c r="H11" s="7"/>
      <c r="I11" s="7">
        <f>3+2564+1786+4+234+1+4588</f>
        <v>9180</v>
      </c>
      <c r="J11" s="7"/>
      <c r="K11" s="7">
        <f>8+320-1444+1814+1619+366+8100</f>
        <v>10783</v>
      </c>
      <c r="L11" s="7"/>
      <c r="M11" s="7">
        <f>9+168+24+260+136+10+1146</f>
        <v>1753</v>
      </c>
      <c r="N11" s="7"/>
      <c r="O11" s="7">
        <f>1+6+9+26+82</f>
        <v>124</v>
      </c>
      <c r="P11" s="7"/>
      <c r="Q11" s="7">
        <f>11+68+6+130+49+8+275</f>
        <v>547</v>
      </c>
      <c r="R11" s="7"/>
      <c r="S11" s="7">
        <f>12+10+4+15-1</f>
        <v>40</v>
      </c>
      <c r="T11" s="7"/>
      <c r="U11" s="7">
        <f>195+3283+5469+1636+1870+346+15124</f>
        <v>27923</v>
      </c>
      <c r="W11" s="7">
        <f>32+393+946+729+993+103+7048</f>
        <v>10244</v>
      </c>
      <c r="Y11" s="7">
        <f>11+466+54+180+321+48+4179-29-102</f>
        <v>5128</v>
      </c>
      <c r="AA11" s="7">
        <f>11+1009+694+601+544+67+2702</f>
        <v>5628</v>
      </c>
      <c r="AC11" s="7">
        <f>3+412+371+454+1575+33+24419+8+55</f>
        <v>27330</v>
      </c>
      <c r="AE11" s="7">
        <f>172+88+96+95+26+906</f>
        <v>1383</v>
      </c>
      <c r="AF11" s="7"/>
      <c r="AG11" s="7">
        <f>81+779+121+71+123+919</f>
        <v>2094</v>
      </c>
      <c r="AH11" s="7"/>
      <c r="AI11" s="7">
        <f>60+1000+5441+1281+839+51+16718</f>
        <v>25390</v>
      </c>
      <c r="AJ11" s="7"/>
      <c r="AK11" s="7">
        <f>120+2616+1680+1845+2442+181+17206</f>
        <v>26090</v>
      </c>
      <c r="AL11" s="7"/>
      <c r="AM11" s="7">
        <f>5+1061+634+2409+1763+730+9282</f>
        <v>15884</v>
      </c>
      <c r="AO11" s="2" t="s">
        <v>27</v>
      </c>
    </row>
    <row r="12" spans="1:41">
      <c r="A12" s="1" t="s">
        <v>28</v>
      </c>
      <c r="C12" s="7">
        <f t="shared" si="0"/>
        <v>-12680</v>
      </c>
      <c r="D12" s="8"/>
      <c r="E12" s="9">
        <v>488</v>
      </c>
      <c r="F12" s="9"/>
      <c r="G12" s="7">
        <v>149</v>
      </c>
      <c r="H12" s="9"/>
      <c r="I12" s="9">
        <v>441</v>
      </c>
      <c r="J12" s="9"/>
      <c r="K12" s="9">
        <v>587</v>
      </c>
      <c r="L12" s="9"/>
      <c r="M12" s="7">
        <v>0</v>
      </c>
      <c r="N12" s="9"/>
      <c r="O12" s="9">
        <v>1</v>
      </c>
      <c r="P12" s="9"/>
      <c r="Q12" s="7">
        <v>0</v>
      </c>
      <c r="R12" s="7"/>
      <c r="S12" s="7">
        <v>0</v>
      </c>
      <c r="T12" s="9"/>
      <c r="U12" s="9">
        <v>1389</v>
      </c>
      <c r="V12" s="10"/>
      <c r="W12" s="9">
        <v>249</v>
      </c>
      <c r="Y12" s="7">
        <f>844-31</f>
        <v>813</v>
      </c>
      <c r="AA12" s="7">
        <v>408</v>
      </c>
      <c r="AC12" s="7">
        <v>431</v>
      </c>
      <c r="AE12" s="7">
        <v>3</v>
      </c>
      <c r="AF12" s="7"/>
      <c r="AG12" s="7">
        <v>3</v>
      </c>
      <c r="AH12" s="7"/>
      <c r="AI12" s="23">
        <v>-29334</v>
      </c>
      <c r="AJ12" s="7"/>
      <c r="AK12" s="7">
        <v>2217</v>
      </c>
      <c r="AL12" s="7"/>
      <c r="AM12" s="7">
        <v>9475</v>
      </c>
      <c r="AO12" s="2" t="s">
        <v>29</v>
      </c>
    </row>
    <row r="13" spans="1:41">
      <c r="A13" s="1" t="s">
        <v>30</v>
      </c>
      <c r="C13" s="7">
        <f t="shared" si="0"/>
        <v>50247</v>
      </c>
      <c r="D13" s="8"/>
      <c r="E13" s="9">
        <v>4410</v>
      </c>
      <c r="F13" s="9"/>
      <c r="G13" s="7">
        <v>2242</v>
      </c>
      <c r="H13" s="9"/>
      <c r="I13" s="9">
        <v>679</v>
      </c>
      <c r="J13" s="9"/>
      <c r="K13" s="9">
        <v>2696</v>
      </c>
      <c r="L13" s="9"/>
      <c r="M13" s="7">
        <v>142</v>
      </c>
      <c r="N13" s="9"/>
      <c r="O13" s="9">
        <v>18</v>
      </c>
      <c r="P13" s="9"/>
      <c r="Q13" s="7">
        <v>18</v>
      </c>
      <c r="R13" s="7"/>
      <c r="S13" s="7">
        <v>5</v>
      </c>
      <c r="T13" s="9"/>
      <c r="U13" s="9">
        <v>5264</v>
      </c>
      <c r="V13" s="10"/>
      <c r="W13" s="9">
        <v>1334</v>
      </c>
      <c r="Y13" s="7">
        <f>284-48</f>
        <v>236</v>
      </c>
      <c r="AA13" s="7">
        <v>20658</v>
      </c>
      <c r="AC13" s="7">
        <v>1180</v>
      </c>
      <c r="AE13" s="7">
        <v>169</v>
      </c>
      <c r="AF13" s="7"/>
      <c r="AG13" s="7">
        <v>284</v>
      </c>
      <c r="AH13" s="7"/>
      <c r="AI13" s="7">
        <v>3951</v>
      </c>
      <c r="AJ13" s="7"/>
      <c r="AK13" s="8">
        <v>4375</v>
      </c>
      <c r="AL13" s="7"/>
      <c r="AM13" s="7">
        <f>-30898+30550+1203+926+805</f>
        <v>2586</v>
      </c>
      <c r="AO13" s="2" t="s">
        <v>31</v>
      </c>
    </row>
    <row r="14" spans="1:41">
      <c r="A14" s="1" t="s">
        <v>32</v>
      </c>
      <c r="C14" s="7">
        <f t="shared" si="0"/>
        <v>11108</v>
      </c>
      <c r="D14" s="8"/>
      <c r="E14" s="9">
        <f>174+6</f>
        <v>180</v>
      </c>
      <c r="F14" s="9"/>
      <c r="G14" s="7">
        <f>17+6</f>
        <v>23</v>
      </c>
      <c r="H14" s="9"/>
      <c r="I14" s="9">
        <f>39+14</f>
        <v>53</v>
      </c>
      <c r="J14" s="9"/>
      <c r="K14" s="9">
        <f>115+1</f>
        <v>116</v>
      </c>
      <c r="L14" s="9"/>
      <c r="M14" s="7">
        <v>0</v>
      </c>
      <c r="N14" s="9"/>
      <c r="O14" s="9">
        <v>7</v>
      </c>
      <c r="P14" s="9"/>
      <c r="Q14" s="7">
        <v>18</v>
      </c>
      <c r="R14" s="7"/>
      <c r="S14" s="7">
        <v>0</v>
      </c>
      <c r="T14" s="9"/>
      <c r="U14" s="9">
        <v>131</v>
      </c>
      <c r="V14" s="10"/>
      <c r="W14" s="9">
        <v>319</v>
      </c>
      <c r="Y14" s="7">
        <f>7-5</f>
        <v>2</v>
      </c>
      <c r="AA14" s="7">
        <v>10</v>
      </c>
      <c r="AC14" s="7">
        <v>13</v>
      </c>
      <c r="AE14" s="7">
        <v>67</v>
      </c>
      <c r="AF14" s="7"/>
      <c r="AG14" s="7">
        <v>5</v>
      </c>
      <c r="AH14" s="7"/>
      <c r="AI14" s="7">
        <v>22</v>
      </c>
      <c r="AJ14" s="7"/>
      <c r="AK14" s="7">
        <v>122</v>
      </c>
      <c r="AL14" s="7"/>
      <c r="AM14" s="7">
        <f>9117+903</f>
        <v>10020</v>
      </c>
      <c r="AO14" s="2" t="s">
        <v>33</v>
      </c>
    </row>
    <row r="15" spans="1:41">
      <c r="A15" s="1" t="s">
        <v>34</v>
      </c>
      <c r="C15" s="7">
        <f t="shared" si="0"/>
        <v>177428</v>
      </c>
      <c r="D15" s="8"/>
      <c r="E15" s="9">
        <f>123+4480</f>
        <v>4603</v>
      </c>
      <c r="F15" s="9"/>
      <c r="G15" s="7">
        <v>227</v>
      </c>
      <c r="H15" s="9"/>
      <c r="I15" s="9">
        <v>136</v>
      </c>
      <c r="J15" s="9"/>
      <c r="K15" s="23">
        <f>58-4875</f>
        <v>-4817</v>
      </c>
      <c r="L15" s="9"/>
      <c r="M15" s="7">
        <v>36</v>
      </c>
      <c r="N15" s="9"/>
      <c r="O15" s="9">
        <v>8</v>
      </c>
      <c r="P15" s="9"/>
      <c r="Q15" s="7">
        <f>56+8</f>
        <v>64</v>
      </c>
      <c r="R15" s="7"/>
      <c r="S15" s="7">
        <v>0</v>
      </c>
      <c r="T15" s="9"/>
      <c r="U15" s="9">
        <f>357+11527</f>
        <v>11884</v>
      </c>
      <c r="V15" s="10"/>
      <c r="W15" s="9">
        <v>5359</v>
      </c>
      <c r="Y15" s="7">
        <v>1479</v>
      </c>
      <c r="AA15" s="7">
        <v>115009</v>
      </c>
      <c r="AC15" s="7">
        <v>9872</v>
      </c>
      <c r="AE15" s="7">
        <v>609</v>
      </c>
      <c r="AF15" s="7"/>
      <c r="AG15" s="7">
        <v>5</v>
      </c>
      <c r="AH15" s="7"/>
      <c r="AI15" s="7">
        <v>7570</v>
      </c>
      <c r="AJ15" s="7"/>
      <c r="AK15" s="7">
        <f>1397+4760</f>
        <v>6157</v>
      </c>
      <c r="AL15" s="7"/>
      <c r="AM15" s="7">
        <f>-20450+39677</f>
        <v>19227</v>
      </c>
      <c r="AO15" s="2" t="s">
        <v>35</v>
      </c>
    </row>
    <row r="16" spans="1:41">
      <c r="A16" s="1" t="s">
        <v>36</v>
      </c>
      <c r="C16" s="7">
        <f t="shared" si="0"/>
        <v>64383</v>
      </c>
      <c r="D16" s="8"/>
      <c r="E16" s="9">
        <v>10</v>
      </c>
      <c r="F16" s="9"/>
      <c r="G16" s="7">
        <v>14088</v>
      </c>
      <c r="H16" s="9"/>
      <c r="I16" s="9">
        <v>1474</v>
      </c>
      <c r="J16" s="9"/>
      <c r="K16" s="9">
        <v>359</v>
      </c>
      <c r="L16" s="9"/>
      <c r="M16" s="7">
        <v>0</v>
      </c>
      <c r="N16" s="9"/>
      <c r="O16" s="9">
        <v>0</v>
      </c>
      <c r="P16" s="9"/>
      <c r="Q16" s="7">
        <v>0</v>
      </c>
      <c r="R16" s="7"/>
      <c r="S16" s="7">
        <v>0</v>
      </c>
      <c r="T16" s="9"/>
      <c r="U16" s="9">
        <v>1485</v>
      </c>
      <c r="V16" s="10"/>
      <c r="W16" s="9">
        <v>122</v>
      </c>
      <c r="Y16" s="7">
        <f>1735-570</f>
        <v>1165</v>
      </c>
      <c r="AA16" s="7">
        <v>13</v>
      </c>
      <c r="AC16" s="7">
        <v>615</v>
      </c>
      <c r="AE16" s="7">
        <v>485</v>
      </c>
      <c r="AF16" s="7"/>
      <c r="AG16" s="7">
        <v>0</v>
      </c>
      <c r="AH16" s="7"/>
      <c r="AI16" s="7">
        <v>228</v>
      </c>
      <c r="AJ16" s="7"/>
      <c r="AK16" s="7">
        <v>373</v>
      </c>
      <c r="AL16" s="7"/>
      <c r="AM16" s="7">
        <v>43966</v>
      </c>
      <c r="AO16" s="2" t="s">
        <v>37</v>
      </c>
    </row>
    <row r="17" spans="1:41">
      <c r="A17" s="1" t="s">
        <v>38</v>
      </c>
      <c r="C17" s="7">
        <f t="shared" si="0"/>
        <v>1128374</v>
      </c>
      <c r="D17" s="8"/>
      <c r="E17" s="9">
        <f>996+179+488+1+5245+26370+1288+3186+18+4993</f>
        <v>42764</v>
      </c>
      <c r="F17" s="9"/>
      <c r="G17" s="7">
        <f>13653+208+254+12+10+4850+29+12720</f>
        <v>31736</v>
      </c>
      <c r="H17" s="9"/>
      <c r="I17" s="9">
        <f>490+109+21+6580+38+2644</f>
        <v>9882</v>
      </c>
      <c r="J17" s="9"/>
      <c r="K17" s="9">
        <f>26740+695+13+221+13521+4313+2254+1095+61649</f>
        <v>110501</v>
      </c>
      <c r="L17" s="9"/>
      <c r="M17" s="7">
        <f>14904+406+196+960+1749</f>
        <v>18215</v>
      </c>
      <c r="N17" s="9"/>
      <c r="O17" s="9">
        <f>457+5</f>
        <v>462</v>
      </c>
      <c r="P17" s="9"/>
      <c r="Q17" s="7">
        <f>1+310+7405-7461</f>
        <v>255</v>
      </c>
      <c r="R17" s="7"/>
      <c r="S17" s="7">
        <f>5+38+14+129+7461</f>
        <v>7647</v>
      </c>
      <c r="T17" s="9"/>
      <c r="U17" s="9">
        <f>34782+4801+28+1358+8531+18333+6788+1437+7310</f>
        <v>83368</v>
      </c>
      <c r="V17" s="10"/>
      <c r="W17" s="9">
        <f>646+10+1+15+177+2324+983+205+12480</f>
        <v>16841</v>
      </c>
      <c r="Y17" s="7">
        <f>3849+309+2+1+192+1212+390+69+5439-31-70-550-2497</f>
        <v>8315</v>
      </c>
      <c r="AA17" s="7">
        <f>151+36+23+20075+10286+121+39188</f>
        <v>69880</v>
      </c>
      <c r="AC17" s="7">
        <f>2938+168+4947+574+156+67025+205+173895</f>
        <v>249908</v>
      </c>
      <c r="AE17" s="7">
        <f>816+2+8+4+492+18+11+613</f>
        <v>1964</v>
      </c>
      <c r="AF17" s="7"/>
      <c r="AG17" s="7">
        <f>-96+339+1441</f>
        <v>1684</v>
      </c>
      <c r="AH17" s="7"/>
      <c r="AI17" s="7">
        <f>3415+186+2541+53+4129+46781+353+1113+28126</f>
        <v>86697</v>
      </c>
      <c r="AJ17" s="7"/>
      <c r="AK17" s="7">
        <f>9886+144+358+3+34148+12132+10001+1486+107662</f>
        <v>175820</v>
      </c>
      <c r="AL17" s="7"/>
      <c r="AM17" s="7">
        <f>2400+7517+4226+106+4006+117952+161+995+75072</f>
        <v>212435</v>
      </c>
      <c r="AO17" s="2" t="s">
        <v>39</v>
      </c>
    </row>
    <row r="18" spans="1:41">
      <c r="A18" s="1" t="s">
        <v>40</v>
      </c>
      <c r="C18" s="7">
        <f t="shared" si="0"/>
        <v>20523</v>
      </c>
      <c r="D18" s="8"/>
      <c r="E18" s="9">
        <v>519</v>
      </c>
      <c r="F18" s="9"/>
      <c r="G18" s="7">
        <v>399</v>
      </c>
      <c r="H18" s="9"/>
      <c r="I18" s="9">
        <v>489</v>
      </c>
      <c r="J18" s="9"/>
      <c r="K18" s="9">
        <v>185</v>
      </c>
      <c r="L18" s="9"/>
      <c r="M18" s="7">
        <v>0</v>
      </c>
      <c r="N18" s="9"/>
      <c r="O18" s="9">
        <v>0</v>
      </c>
      <c r="P18" s="9"/>
      <c r="Q18" s="7">
        <v>1</v>
      </c>
      <c r="R18" s="7"/>
      <c r="S18" s="7">
        <v>0</v>
      </c>
      <c r="T18" s="9"/>
      <c r="U18" s="9">
        <v>955</v>
      </c>
      <c r="V18" s="10"/>
      <c r="W18" s="9">
        <v>71</v>
      </c>
      <c r="Y18" s="7">
        <f>3521-3517</f>
        <v>4</v>
      </c>
      <c r="AA18" s="7">
        <v>54</v>
      </c>
      <c r="AC18" s="7">
        <v>13782</v>
      </c>
      <c r="AE18" s="7">
        <v>20</v>
      </c>
      <c r="AF18" s="7"/>
      <c r="AG18" s="7">
        <v>15</v>
      </c>
      <c r="AH18" s="7"/>
      <c r="AI18" s="7">
        <v>715</v>
      </c>
      <c r="AJ18" s="7"/>
      <c r="AK18" s="7">
        <v>1024</v>
      </c>
      <c r="AL18" s="7"/>
      <c r="AM18" s="7">
        <v>2290</v>
      </c>
      <c r="AO18" s="2" t="s">
        <v>41</v>
      </c>
    </row>
    <row r="19" spans="1:41">
      <c r="A19" s="1" t="s">
        <v>42</v>
      </c>
      <c r="C19" s="7">
        <f t="shared" si="0"/>
        <v>20449</v>
      </c>
      <c r="D19" s="8"/>
      <c r="E19" s="9">
        <v>98</v>
      </c>
      <c r="F19" s="9"/>
      <c r="G19" s="7">
        <v>62</v>
      </c>
      <c r="H19" s="9"/>
      <c r="I19" s="9">
        <v>157</v>
      </c>
      <c r="J19" s="9"/>
      <c r="K19" s="9">
        <v>947</v>
      </c>
      <c r="L19" s="9"/>
      <c r="M19" s="7">
        <v>17</v>
      </c>
      <c r="N19" s="9"/>
      <c r="O19" s="9">
        <v>6</v>
      </c>
      <c r="P19" s="9"/>
      <c r="Q19" s="7">
        <v>28</v>
      </c>
      <c r="R19" s="7"/>
      <c r="S19" s="7">
        <v>0</v>
      </c>
      <c r="T19" s="9"/>
      <c r="U19" s="9">
        <v>6328</v>
      </c>
      <c r="V19" s="10"/>
      <c r="W19" s="9">
        <v>773</v>
      </c>
      <c r="Y19" s="7">
        <v>192</v>
      </c>
      <c r="AA19" s="7">
        <v>9202</v>
      </c>
      <c r="AC19" s="7">
        <v>110</v>
      </c>
      <c r="AE19" s="7">
        <v>6</v>
      </c>
      <c r="AF19" s="7"/>
      <c r="AG19" s="7">
        <v>4</v>
      </c>
      <c r="AH19" s="7"/>
      <c r="AI19" s="7">
        <v>1421</v>
      </c>
      <c r="AJ19" s="7"/>
      <c r="AK19" s="7">
        <v>280</v>
      </c>
      <c r="AL19" s="7"/>
      <c r="AM19" s="7">
        <v>818</v>
      </c>
      <c r="AO19" s="2" t="s">
        <v>43</v>
      </c>
    </row>
    <row r="20" spans="1:41">
      <c r="A20" s="1" t="s">
        <v>44</v>
      </c>
      <c r="C20" s="7">
        <f t="shared" si="0"/>
        <v>715997</v>
      </c>
      <c r="D20" s="8"/>
      <c r="E20" s="9">
        <f>2+43312+931</f>
        <v>44245</v>
      </c>
      <c r="F20" s="9"/>
      <c r="G20" s="7">
        <f>30+20</f>
        <v>50</v>
      </c>
      <c r="H20" s="9"/>
      <c r="I20" s="9">
        <v>1</v>
      </c>
      <c r="J20" s="9"/>
      <c r="K20" s="9">
        <f>3624+13</f>
        <v>3637</v>
      </c>
      <c r="L20" s="9"/>
      <c r="M20" s="7">
        <v>16</v>
      </c>
      <c r="N20" s="9"/>
      <c r="O20" s="9">
        <v>0</v>
      </c>
      <c r="P20" s="9"/>
      <c r="Q20" s="7">
        <v>7</v>
      </c>
      <c r="R20" s="7"/>
      <c r="S20" s="7">
        <v>1</v>
      </c>
      <c r="T20" s="9"/>
      <c r="U20" s="9">
        <f>13+485</f>
        <v>498</v>
      </c>
      <c r="V20" s="10"/>
      <c r="W20" s="23">
        <f>2-5246+1</f>
        <v>-5243</v>
      </c>
      <c r="Y20" s="7">
        <f>24232-24102</f>
        <v>130</v>
      </c>
      <c r="AA20" s="7">
        <f>5+1188</f>
        <v>1193</v>
      </c>
      <c r="AC20" s="7">
        <f>68+666487</f>
        <v>666555</v>
      </c>
      <c r="AE20" s="7">
        <v>13</v>
      </c>
      <c r="AF20" s="7"/>
      <c r="AG20" s="7">
        <f>4+3</f>
        <v>7</v>
      </c>
      <c r="AH20" s="7"/>
      <c r="AI20" s="7">
        <f>698-25572</f>
        <v>-24874</v>
      </c>
      <c r="AJ20" s="7"/>
      <c r="AK20" s="7">
        <f>10643+39</f>
        <v>10682</v>
      </c>
      <c r="AL20" s="7"/>
      <c r="AM20" s="7">
        <f>103+18976</f>
        <v>19079</v>
      </c>
      <c r="AO20" s="2" t="s">
        <v>45</v>
      </c>
    </row>
    <row r="21" spans="1:41">
      <c r="A21" s="1" t="s">
        <v>46</v>
      </c>
      <c r="C21" s="7">
        <f t="shared" si="0"/>
        <v>23681</v>
      </c>
      <c r="D21" s="8"/>
      <c r="E21" s="9">
        <v>603</v>
      </c>
      <c r="F21" s="9"/>
      <c r="G21" s="7">
        <v>-194</v>
      </c>
      <c r="H21" s="9"/>
      <c r="I21" s="9">
        <v>456</v>
      </c>
      <c r="J21" s="9"/>
      <c r="K21" s="9">
        <v>1199</v>
      </c>
      <c r="L21" s="9"/>
      <c r="M21" s="7">
        <v>85</v>
      </c>
      <c r="N21" s="9"/>
      <c r="O21" s="9">
        <v>3</v>
      </c>
      <c r="P21" s="9"/>
      <c r="Q21" s="7">
        <v>54</v>
      </c>
      <c r="R21" s="7"/>
      <c r="S21" s="7">
        <v>5</v>
      </c>
      <c r="T21" s="9"/>
      <c r="U21" s="9">
        <f>10637</f>
        <v>10637</v>
      </c>
      <c r="V21" s="10"/>
      <c r="W21" s="9">
        <v>691</v>
      </c>
      <c r="Y21" s="7">
        <f>230-100</f>
        <v>130</v>
      </c>
      <c r="AA21" s="7">
        <v>805</v>
      </c>
      <c r="AC21" s="7">
        <v>1516</v>
      </c>
      <c r="AE21" s="7">
        <v>106</v>
      </c>
      <c r="AF21" s="7"/>
      <c r="AG21" s="7">
        <v>69</v>
      </c>
      <c r="AH21" s="7"/>
      <c r="AI21" s="7">
        <v>880</v>
      </c>
      <c r="AJ21" s="7"/>
      <c r="AK21" s="7">
        <v>4276</v>
      </c>
      <c r="AL21" s="7"/>
      <c r="AM21" s="7">
        <v>2360</v>
      </c>
      <c r="AO21" s="2" t="s">
        <v>47</v>
      </c>
    </row>
    <row r="22" spans="1:41">
      <c r="A22" s="1" t="s">
        <v>48</v>
      </c>
      <c r="C22" s="7">
        <f t="shared" si="0"/>
        <v>129045</v>
      </c>
      <c r="D22" s="8"/>
      <c r="E22" s="11">
        <f>1500+5206</f>
        <v>6706</v>
      </c>
      <c r="F22" s="9"/>
      <c r="G22" s="7">
        <f>1181+2503</f>
        <v>3684</v>
      </c>
      <c r="H22" s="9"/>
      <c r="I22" s="9">
        <f>2463+245</f>
        <v>2708</v>
      </c>
      <c r="J22" s="9"/>
      <c r="K22" s="9">
        <f>293+1852</f>
        <v>2145</v>
      </c>
      <c r="L22" s="9"/>
      <c r="M22" s="7">
        <v>0</v>
      </c>
      <c r="N22" s="9"/>
      <c r="O22" s="9">
        <f>5+15</f>
        <v>20</v>
      </c>
      <c r="P22" s="9"/>
      <c r="Q22" s="7">
        <v>1</v>
      </c>
      <c r="R22" s="7"/>
      <c r="S22" s="7">
        <v>0</v>
      </c>
      <c r="T22" s="9"/>
      <c r="U22" s="11">
        <f>279+7250</f>
        <v>7529</v>
      </c>
      <c r="V22" s="10"/>
      <c r="W22" s="9">
        <f>125+1788</f>
        <v>1913</v>
      </c>
      <c r="Y22" s="7">
        <f>919+1618-915-1598</f>
        <v>24</v>
      </c>
      <c r="AA22" s="7">
        <f>41+40</f>
        <v>81</v>
      </c>
      <c r="AC22" s="7">
        <f>14377+2531</f>
        <v>16908</v>
      </c>
      <c r="AE22" s="7">
        <f>127+271</f>
        <v>398</v>
      </c>
      <c r="AF22" s="7"/>
      <c r="AG22" s="7">
        <f>86+191</f>
        <v>277</v>
      </c>
      <c r="AH22" s="7"/>
      <c r="AI22" s="7">
        <f>2059+14659</f>
        <v>16718</v>
      </c>
      <c r="AJ22" s="7"/>
      <c r="AK22" s="7">
        <f>308+6547</f>
        <v>6855</v>
      </c>
      <c r="AL22" s="7"/>
      <c r="AM22" s="7">
        <f>4507+58571</f>
        <v>63078</v>
      </c>
      <c r="AO22" s="2" t="s">
        <v>49</v>
      </c>
    </row>
    <row r="23" spans="1:41">
      <c r="A23" s="1" t="s">
        <v>50</v>
      </c>
      <c r="C23" s="7">
        <f t="shared" si="0"/>
        <v>15530</v>
      </c>
      <c r="D23" s="8"/>
      <c r="E23" s="11">
        <f>2691+4881+1531</f>
        <v>9103</v>
      </c>
      <c r="F23" s="9"/>
      <c r="G23" s="7">
        <v>278</v>
      </c>
      <c r="H23" s="9"/>
      <c r="I23" s="9">
        <v>381</v>
      </c>
      <c r="J23" s="9"/>
      <c r="K23" s="9">
        <f>5+1110+35</f>
        <v>1150</v>
      </c>
      <c r="L23" s="9"/>
      <c r="M23" s="7">
        <v>0</v>
      </c>
      <c r="N23" s="9"/>
      <c r="O23" s="9">
        <v>0</v>
      </c>
      <c r="P23" s="9"/>
      <c r="Q23" s="7">
        <v>6</v>
      </c>
      <c r="R23" s="7"/>
      <c r="S23" s="7">
        <v>0</v>
      </c>
      <c r="T23" s="9"/>
      <c r="U23" s="9">
        <v>1050</v>
      </c>
      <c r="V23" s="10"/>
      <c r="W23" s="9">
        <v>15</v>
      </c>
      <c r="Y23" s="7">
        <v>19</v>
      </c>
      <c r="AA23" s="7">
        <v>1</v>
      </c>
      <c r="AC23" s="7">
        <v>329</v>
      </c>
      <c r="AE23" s="7">
        <v>0</v>
      </c>
      <c r="AF23" s="7"/>
      <c r="AG23" s="7">
        <v>0</v>
      </c>
      <c r="AH23" s="7"/>
      <c r="AI23" s="7">
        <v>35</v>
      </c>
      <c r="AJ23" s="7"/>
      <c r="AK23" s="7">
        <f>1+430</f>
        <v>431</v>
      </c>
      <c r="AL23" s="7"/>
      <c r="AM23" s="7">
        <v>2732</v>
      </c>
      <c r="AO23" s="2" t="s">
        <v>51</v>
      </c>
    </row>
    <row r="24" spans="1:41">
      <c r="A24" s="1" t="s">
        <v>52</v>
      </c>
      <c r="C24" s="7">
        <f t="shared" si="0"/>
        <v>28500</v>
      </c>
      <c r="D24" s="8"/>
      <c r="E24" s="11">
        <f>19360+779</f>
        <v>20139</v>
      </c>
      <c r="F24" s="9"/>
      <c r="G24" s="7">
        <v>0</v>
      </c>
      <c r="H24" s="9"/>
      <c r="I24" s="9"/>
      <c r="J24" s="9"/>
      <c r="K24" s="9">
        <f>1243+374</f>
        <v>1617</v>
      </c>
      <c r="L24" s="9"/>
      <c r="M24" s="7">
        <v>0</v>
      </c>
      <c r="N24" s="9"/>
      <c r="O24" s="9">
        <v>0</v>
      </c>
      <c r="P24" s="9"/>
      <c r="Q24" s="7">
        <v>0</v>
      </c>
      <c r="R24" s="7"/>
      <c r="S24" s="7">
        <v>0</v>
      </c>
      <c r="T24" s="9"/>
      <c r="U24" s="9">
        <v>0</v>
      </c>
      <c r="V24" s="10"/>
      <c r="W24" s="9">
        <v>0</v>
      </c>
      <c r="Y24" s="7">
        <v>0</v>
      </c>
      <c r="AA24" s="7"/>
      <c r="AC24" s="7"/>
      <c r="AE24" s="7">
        <v>0</v>
      </c>
      <c r="AF24" s="7"/>
      <c r="AG24" s="7">
        <v>0</v>
      </c>
      <c r="AH24" s="7"/>
      <c r="AI24" s="7">
        <f>217+10</f>
        <v>227</v>
      </c>
      <c r="AJ24" s="7"/>
      <c r="AK24" s="7">
        <v>0</v>
      </c>
      <c r="AL24" s="7"/>
      <c r="AM24" s="7">
        <v>6517</v>
      </c>
      <c r="AO24" s="2" t="s">
        <v>53</v>
      </c>
    </row>
    <row r="25" spans="1:41">
      <c r="A25" s="1" t="s">
        <v>54</v>
      </c>
      <c r="C25" s="7">
        <f t="shared" si="0"/>
        <v>19726</v>
      </c>
      <c r="D25" s="8"/>
      <c r="E25" s="9">
        <v>2100</v>
      </c>
      <c r="F25" s="9"/>
      <c r="G25" s="7">
        <v>127</v>
      </c>
      <c r="H25" s="9"/>
      <c r="I25" s="9">
        <v>1770</v>
      </c>
      <c r="J25" s="9"/>
      <c r="K25" s="9">
        <f>1327+2</f>
        <v>1329</v>
      </c>
      <c r="L25" s="9"/>
      <c r="M25" s="7">
        <v>1</v>
      </c>
      <c r="N25" s="9"/>
      <c r="O25" s="9">
        <v>0</v>
      </c>
      <c r="P25" s="9"/>
      <c r="Q25" s="7">
        <v>0</v>
      </c>
      <c r="R25" s="7"/>
      <c r="S25" s="7">
        <v>0</v>
      </c>
      <c r="T25" s="9"/>
      <c r="U25" s="9">
        <v>7109</v>
      </c>
      <c r="V25" s="10"/>
      <c r="W25" s="9">
        <v>87</v>
      </c>
      <c r="Y25" s="7">
        <f>17263-17256</f>
        <v>7</v>
      </c>
      <c r="AA25" s="7">
        <v>190</v>
      </c>
      <c r="AC25" s="7">
        <v>1910</v>
      </c>
      <c r="AE25" s="7">
        <v>60</v>
      </c>
      <c r="AF25" s="7"/>
      <c r="AG25" s="7">
        <v>0</v>
      </c>
      <c r="AH25" s="7"/>
      <c r="AI25" s="7">
        <v>1275</v>
      </c>
      <c r="AJ25" s="7"/>
      <c r="AK25" s="7">
        <v>1679</v>
      </c>
      <c r="AL25" s="7"/>
      <c r="AM25" s="7">
        <v>2082</v>
      </c>
      <c r="AO25" s="2" t="s">
        <v>55</v>
      </c>
    </row>
    <row r="26" spans="1:41">
      <c r="A26" s="1" t="s">
        <v>12</v>
      </c>
      <c r="C26" s="7">
        <f t="shared" si="0"/>
        <v>120642</v>
      </c>
      <c r="D26" s="8"/>
      <c r="E26" s="23">
        <f>6-24813+121+3+823+6+1035-1+7+1092+2468-11431-301+1</f>
        <v>-30984</v>
      </c>
      <c r="F26" s="9"/>
      <c r="G26" s="23">
        <f>95+491-4539+59+108+216+45+66496-5-798-10296</f>
        <v>51872</v>
      </c>
      <c r="H26" s="9"/>
      <c r="I26" s="9">
        <f>37+219+38-9623+1</f>
        <v>-9328</v>
      </c>
      <c r="J26" s="9"/>
      <c r="K26" s="23">
        <f>-2+2104+270+1098+3+3192+21+1+1+215+72347+79+4+9981</f>
        <v>89314</v>
      </c>
      <c r="L26" s="9"/>
      <c r="M26" s="7">
        <f>581+5+1+8+47+1+22</f>
        <v>665</v>
      </c>
      <c r="N26" s="9"/>
      <c r="O26" s="9">
        <v>15</v>
      </c>
      <c r="P26" s="9"/>
      <c r="Q26" s="7">
        <f>298+247+98+1+172-4</f>
        <v>812</v>
      </c>
      <c r="R26" s="7"/>
      <c r="S26" s="7">
        <v>0</v>
      </c>
      <c r="T26" s="9"/>
      <c r="U26" s="9">
        <f>9514+1173+332+89+102+291+119+310-12+787-3+4813</f>
        <v>17515</v>
      </c>
      <c r="V26" s="10"/>
      <c r="W26" s="23">
        <f>802+170-721+19+24+1-1901</f>
        <v>-1606</v>
      </c>
      <c r="Y26" s="25">
        <f>24-1207+80+299+287+31+6176-22898-79-1-287-31-6176+14471-61</f>
        <v>-9372</v>
      </c>
      <c r="AA26" s="7">
        <f>1+2740+2+7+1+10233-6</f>
        <v>12978</v>
      </c>
      <c r="AC26" s="7">
        <f>669+94+1+11+289+561+4+11188-1</f>
        <v>12816</v>
      </c>
      <c r="AE26" s="23">
        <f>1-2013-1</f>
        <v>-2013</v>
      </c>
      <c r="AF26" s="9"/>
      <c r="AG26" s="24">
        <f>20+7-12946-1-2102</f>
        <v>-15022</v>
      </c>
      <c r="AH26" s="9"/>
      <c r="AI26" s="7">
        <f>-4+191+67+196+2+2-65+1559</f>
        <v>1948</v>
      </c>
      <c r="AJ26" s="7"/>
      <c r="AK26" s="7">
        <f>7604+375+12+119+42+2236+3+37-2572+1128</f>
        <v>8984</v>
      </c>
      <c r="AL26" s="7"/>
      <c r="AM26" s="7">
        <f>1144-11821+1068+1169+877+341+625-1355</f>
        <v>-7952</v>
      </c>
      <c r="AO26" s="2" t="s">
        <v>56</v>
      </c>
    </row>
    <row r="27" spans="1:41">
      <c r="A27" s="1" t="s">
        <v>57</v>
      </c>
      <c r="C27" s="7">
        <f t="shared" si="0"/>
        <v>-24832</v>
      </c>
      <c r="D27" s="8"/>
      <c r="E27" s="10">
        <f>-3105+16818+39</f>
        <v>13752</v>
      </c>
      <c r="F27" s="10"/>
      <c r="G27" s="1">
        <f>-17023+37527</f>
        <v>20504</v>
      </c>
      <c r="H27" s="10"/>
      <c r="I27" s="10">
        <f>-1273+1796</f>
        <v>523</v>
      </c>
      <c r="J27" s="10"/>
      <c r="K27" s="10">
        <f>14670+115813+12</f>
        <v>130495</v>
      </c>
      <c r="L27" s="10"/>
      <c r="M27" s="1">
        <f>296-4082</f>
        <v>-3786</v>
      </c>
      <c r="N27" s="10"/>
      <c r="O27" s="10">
        <f>198+1249</f>
        <v>1447</v>
      </c>
      <c r="P27" s="10"/>
      <c r="Q27" s="1">
        <f>645+13866</f>
        <v>14511</v>
      </c>
      <c r="S27" s="1">
        <f>187-3</f>
        <v>184</v>
      </c>
      <c r="T27" s="10"/>
      <c r="U27" s="24">
        <f>35155-61966</f>
        <v>-26811</v>
      </c>
      <c r="V27" s="10"/>
      <c r="W27" s="10">
        <f>823+49114</f>
        <v>49937</v>
      </c>
      <c r="Y27" s="1">
        <f>2224+24508</f>
        <v>26732</v>
      </c>
      <c r="AA27" s="1">
        <f>1832-114184</f>
        <v>-112352</v>
      </c>
      <c r="AC27" s="1">
        <f>423+9640-1685</f>
        <v>8378</v>
      </c>
      <c r="AE27" s="1">
        <f>968-1461+48+3105</f>
        <v>2660</v>
      </c>
      <c r="AG27" s="1">
        <f>266-416+2975</f>
        <v>2825</v>
      </c>
      <c r="AI27" s="1">
        <f>18854+52514</f>
        <v>71368</v>
      </c>
      <c r="AK27" s="1">
        <f>908+64055</f>
        <v>64963</v>
      </c>
      <c r="AM27" s="1">
        <f>-16952-290182+16972</f>
        <v>-290162</v>
      </c>
      <c r="AO27" s="2" t="s">
        <v>58</v>
      </c>
    </row>
    <row r="28" spans="1:41">
      <c r="A28" s="1" t="s">
        <v>59</v>
      </c>
      <c r="C28" s="7">
        <f t="shared" si="0"/>
        <v>-1111</v>
      </c>
      <c r="D28" s="8"/>
      <c r="E28" s="9">
        <v>-373</v>
      </c>
      <c r="F28" s="9"/>
      <c r="G28" s="1">
        <v>1624</v>
      </c>
      <c r="H28" s="9"/>
      <c r="I28" s="9">
        <v>42</v>
      </c>
      <c r="J28" s="9"/>
      <c r="K28" s="9">
        <v>13288</v>
      </c>
      <c r="L28" s="9"/>
      <c r="M28" s="7">
        <v>185</v>
      </c>
      <c r="N28" s="9"/>
      <c r="O28" s="9">
        <v>48</v>
      </c>
      <c r="P28" s="9"/>
      <c r="Q28" s="7">
        <v>33</v>
      </c>
      <c r="R28" s="7"/>
      <c r="S28" s="7">
        <v>0</v>
      </c>
      <c r="T28" s="9"/>
      <c r="U28" s="9">
        <v>930</v>
      </c>
      <c r="V28" s="10"/>
      <c r="W28" s="9">
        <v>4340</v>
      </c>
      <c r="Y28" s="7">
        <v>583</v>
      </c>
      <c r="AA28" s="7">
        <v>-26772</v>
      </c>
      <c r="AC28" s="7">
        <v>652</v>
      </c>
      <c r="AE28" s="7">
        <v>65</v>
      </c>
      <c r="AF28" s="7"/>
      <c r="AG28" s="7">
        <v>109</v>
      </c>
      <c r="AH28" s="7"/>
      <c r="AI28" s="7">
        <v>758</v>
      </c>
      <c r="AJ28" s="7"/>
      <c r="AK28" s="7">
        <v>932</v>
      </c>
      <c r="AL28" s="7"/>
      <c r="AM28" s="7">
        <v>2445</v>
      </c>
      <c r="AO28" s="2" t="s">
        <v>60</v>
      </c>
    </row>
    <row r="29" spans="1:41">
      <c r="A29" s="1" t="s">
        <v>61</v>
      </c>
      <c r="C29" s="7">
        <f t="shared" si="0"/>
        <v>-23291</v>
      </c>
      <c r="D29" s="8"/>
      <c r="E29" s="9">
        <v>4530</v>
      </c>
      <c r="F29" s="9"/>
      <c r="G29" s="7">
        <v>2116</v>
      </c>
      <c r="H29" s="9"/>
      <c r="I29" s="9">
        <v>306</v>
      </c>
      <c r="J29" s="9"/>
      <c r="K29" s="9">
        <v>6028</v>
      </c>
      <c r="L29" s="9"/>
      <c r="M29" s="7">
        <v>952</v>
      </c>
      <c r="N29" s="9"/>
      <c r="O29" s="9">
        <v>67</v>
      </c>
      <c r="P29" s="9"/>
      <c r="Q29" s="7">
        <v>116</v>
      </c>
      <c r="R29" s="7"/>
      <c r="S29" s="7">
        <v>75</v>
      </c>
      <c r="T29" s="9"/>
      <c r="U29" s="9">
        <v>325</v>
      </c>
      <c r="V29" s="10"/>
      <c r="W29" s="9">
        <v>1915</v>
      </c>
      <c r="Y29" s="7">
        <v>1097</v>
      </c>
      <c r="AA29" s="7">
        <v>10177</v>
      </c>
      <c r="AC29" s="7">
        <v>2932</v>
      </c>
      <c r="AE29" s="7">
        <v>889</v>
      </c>
      <c r="AF29" s="7"/>
      <c r="AG29" s="7">
        <v>143</v>
      </c>
      <c r="AH29" s="7"/>
      <c r="AI29" s="7">
        <v>6977</v>
      </c>
      <c r="AJ29" s="7"/>
      <c r="AK29" s="7">
        <v>11148</v>
      </c>
      <c r="AL29" s="7"/>
      <c r="AM29" s="7">
        <v>-73084</v>
      </c>
      <c r="AO29" s="2" t="s">
        <v>62</v>
      </c>
    </row>
    <row r="30" spans="1:41">
      <c r="A30" s="1" t="s">
        <v>63</v>
      </c>
      <c r="C30" s="7">
        <f t="shared" si="0"/>
        <v>-1754208</v>
      </c>
      <c r="D30" s="8"/>
      <c r="E30" s="9">
        <f>-382+3510-33066-915-2491-5614-3068+303-2+655-2-41-20-47-33-2-492-164-98-1-902-15279-411-30-3043-19-11-183-2264-3-68-1-61-60-393-1-552-18427+230+2992-2-130</f>
        <v>-80588</v>
      </c>
      <c r="F30" s="9"/>
      <c r="G30" s="23">
        <f>325-686-12-65-1-1975+3885-11-16-47-70-3-1042-5795-1+45-1392-5387-2-146-19-7-62-41-54-6+48180-1-3</f>
        <v>35591</v>
      </c>
      <c r="H30" s="9"/>
      <c r="I30" s="9">
        <v>13</v>
      </c>
      <c r="J30" s="9"/>
      <c r="K30" s="9">
        <f>11548+5377-1758-282-1777-4739-183+1-1-3+1839+11-39+11-591-4550+306-6-843+14752-1829-147-54232+546-338+7134-5-13-4-90-30-7529-55-4-3820</f>
        <v>-41343</v>
      </c>
      <c r="L30" s="9"/>
      <c r="M30" s="7">
        <f>55-4-2-2-43-1-1-51-14770-49-17-449-9+16</f>
        <v>-15327</v>
      </c>
      <c r="N30" s="9"/>
      <c r="O30" s="9">
        <v>0</v>
      </c>
      <c r="P30" s="9"/>
      <c r="Q30" s="7">
        <v>0</v>
      </c>
      <c r="R30" s="7"/>
      <c r="S30" s="7"/>
      <c r="T30" s="9"/>
      <c r="U30" s="9">
        <f>-18374-43-3323+201-13-3-6-1-58-11-3703-1406-2866-25+2-2136-1-2248-42-4-55+62-14-32</f>
        <v>-34099</v>
      </c>
      <c r="V30" s="10"/>
      <c r="W30" s="9">
        <f>10419+454+5389-334-154-2278+738-6-14-7-134+480-173-88-375-61-3727-1-7-17+4815-4474-1-2623-1702</f>
        <v>6119</v>
      </c>
      <c r="Y30" s="7">
        <f>1177-104-4202-15394-47-316+1215-6-2-2-100-799-1-156-3-4-227-5-1270-1-5-1500-866+4202+15394</f>
        <v>-3022</v>
      </c>
      <c r="AA30" s="7">
        <f>-16257-7097-640-627-5973-433-2241+650-131-193-58-25-13-247-31-1-4772-487-14090+1005-1977-6387-104831-13-20-15-8432-1-6-114-12504</f>
        <v>-185961</v>
      </c>
      <c r="AC30" s="7">
        <f>-146-8144-665041-1662-42446-99252-62-259-132-1288-1-19973-2351-154-4032-574-3-64181-84-172568-1-31-602-7110-13606-5-575-13897-252-1577-297-4960-71-2405-48+30</f>
        <v>-1127760</v>
      </c>
      <c r="AE30" s="7">
        <f>39-4+250-774+1315-1-8-1-2-8-2</f>
        <v>804</v>
      </c>
      <c r="AF30" s="7"/>
      <c r="AG30" s="23">
        <f>33-3-2-423-682+416-9-43-18-1-172+213-1061-11-3-23-73+12966</f>
        <v>11104</v>
      </c>
      <c r="AH30" s="7"/>
      <c r="AI30" s="7">
        <f>848-30929+28036-695-2957-5324+757-62-7-44-30-5680-49-2578-2738-38631-58-16629-61-6018-312-4-48-179-34-11+33102-20872-51+139-4</f>
        <v>-71123</v>
      </c>
      <c r="AJ30" s="7"/>
      <c r="AK30" s="7">
        <f>5714+36-8573-3050+14-5347-4635+13-2-14-22-83-683-20-7132-3401-8320-507-57739-2735-13-4572-27-323-3-2-2+67-16-24+1</f>
        <v>-101400</v>
      </c>
      <c r="AL30" s="7"/>
      <c r="AM30" s="7">
        <f>-206-1277-4820-129-1547-2908-194-137+194-24-39-63-19-237+6682-31-5052-3455-108364-43-7-5173-6471+32311+31789-70-23-66-197+564-5039-4-30550-1203-926-805-39677</f>
        <v>-147216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5" thickBot="1">
      <c r="A32" s="1" t="s">
        <v>6</v>
      </c>
      <c r="C32" s="15">
        <f>SUM(C9:C31)</f>
        <v>2310576</v>
      </c>
      <c r="D32" s="4"/>
      <c r="E32" s="15">
        <f>SUM(E9:E31)</f>
        <v>148470</v>
      </c>
      <c r="F32" s="4"/>
      <c r="G32" s="15">
        <f>SUM(G9:G31)</f>
        <v>235895</v>
      </c>
      <c r="H32" s="4"/>
      <c r="I32" s="15">
        <f>SUM(I9:I31)</f>
        <v>54154</v>
      </c>
      <c r="J32" s="4"/>
      <c r="K32" s="15">
        <f>SUM(K9:K31)</f>
        <v>445641</v>
      </c>
      <c r="L32" s="4"/>
      <c r="M32" s="15">
        <f>SUM(M9:M31)</f>
        <v>8351</v>
      </c>
      <c r="N32" s="4"/>
      <c r="O32" s="15">
        <f>SUM(O9:O31)</f>
        <v>3724</v>
      </c>
      <c r="P32" s="4"/>
      <c r="Q32" s="15">
        <f>SUM(Q9:Q31)</f>
        <v>20961</v>
      </c>
      <c r="R32" s="4"/>
      <c r="S32" s="15">
        <f>SUM(S9:S31)</f>
        <v>8972</v>
      </c>
      <c r="T32" s="4"/>
      <c r="U32" s="15">
        <f>SUM(U9:U31)</f>
        <v>307401</v>
      </c>
      <c r="W32" s="15">
        <f>SUM(W9:W31)</f>
        <v>146798</v>
      </c>
      <c r="Y32" s="15">
        <f>SUM(Y9:Y31)</f>
        <v>57208</v>
      </c>
      <c r="AA32" s="15">
        <f>SUM(AA9:AA31)</f>
        <v>2204</v>
      </c>
      <c r="AC32" s="15">
        <f>SUM(AC9:AC31)</f>
        <v>42732</v>
      </c>
      <c r="AE32" s="15">
        <f>SUM(AE9:AE31)</f>
        <v>15059</v>
      </c>
      <c r="AF32" s="4"/>
      <c r="AG32" s="15">
        <f>SUM(AG9:AG31)</f>
        <v>4330</v>
      </c>
      <c r="AH32" s="4"/>
      <c r="AI32" s="15">
        <f>SUM(AI9:AI31)</f>
        <v>194082</v>
      </c>
      <c r="AJ32" s="4"/>
      <c r="AK32" s="15">
        <f>SUM(AK9:AK31)</f>
        <v>411720</v>
      </c>
      <c r="AL32" s="4"/>
      <c r="AM32" s="15">
        <f>SUM(AM9:AM31)</f>
        <v>202874</v>
      </c>
    </row>
    <row r="33" spans="1:39" ht="8.1" customHeight="1" thickTop="1">
      <c r="D33" s="3"/>
    </row>
    <row r="34" spans="1:39">
      <c r="C34" s="1">
        <f>2376311-65735-C32</f>
        <v>0</v>
      </c>
      <c r="E34" s="1">
        <f>148470-E32</f>
        <v>0</v>
      </c>
      <c r="G34" s="1">
        <f>235895-G32</f>
        <v>0</v>
      </c>
      <c r="I34" s="1">
        <f>54154-I32</f>
        <v>0</v>
      </c>
      <c r="K34" s="1">
        <f>445641-K32</f>
        <v>0</v>
      </c>
      <c r="M34" s="1">
        <f>8351-M32</f>
        <v>0</v>
      </c>
      <c r="O34" s="1">
        <f>3724-O32</f>
        <v>0</v>
      </c>
      <c r="Q34" s="1">
        <f>20961-Q32</f>
        <v>0</v>
      </c>
      <c r="S34" s="1">
        <f>8972-S32</f>
        <v>0</v>
      </c>
      <c r="U34" s="1">
        <f>307401-U32</f>
        <v>0</v>
      </c>
      <c r="W34" s="1">
        <f>146798-W32</f>
        <v>0</v>
      </c>
      <c r="Y34" s="1">
        <f>57208-Y32</f>
        <v>0</v>
      </c>
      <c r="AA34" s="1">
        <f>2204-AA32</f>
        <v>0</v>
      </c>
      <c r="AC34" s="1">
        <f>42732-AC32</f>
        <v>0</v>
      </c>
      <c r="AE34" s="1">
        <f>15059-AE32</f>
        <v>0</v>
      </c>
      <c r="AG34" s="1">
        <f>4330-AG32</f>
        <v>0</v>
      </c>
      <c r="AI34" s="1">
        <f>194082-AI32</f>
        <v>0</v>
      </c>
      <c r="AK34" s="1">
        <f>411720-AK32</f>
        <v>0</v>
      </c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v>0</v>
      </c>
      <c r="F39" s="7"/>
      <c r="G39" s="7">
        <v>0</v>
      </c>
      <c r="H39" s="7"/>
      <c r="I39" s="7">
        <v>0</v>
      </c>
      <c r="J39" s="7"/>
      <c r="K39" s="7">
        <v>0</v>
      </c>
      <c r="L39" s="7"/>
      <c r="M39" s="7">
        <v>0</v>
      </c>
      <c r="N39" s="7"/>
      <c r="O39" s="7">
        <v>0</v>
      </c>
      <c r="P39" s="7"/>
      <c r="Q39" s="7">
        <v>0</v>
      </c>
      <c r="R39" s="7"/>
      <c r="S39" s="7">
        <v>0</v>
      </c>
      <c r="T39" s="7"/>
      <c r="U39" s="7">
        <v>0</v>
      </c>
      <c r="W39" s="7">
        <v>0</v>
      </c>
      <c r="Y39" s="7">
        <v>0</v>
      </c>
      <c r="AA39" s="7">
        <v>0</v>
      </c>
      <c r="AC39" s="7">
        <v>0</v>
      </c>
      <c r="AE39" s="7">
        <v>0</v>
      </c>
      <c r="AF39" s="7"/>
      <c r="AG39" s="7">
        <v>0</v>
      </c>
      <c r="AH39" s="7"/>
      <c r="AI39" s="7">
        <v>0</v>
      </c>
      <c r="AJ39" s="7"/>
      <c r="AK39" s="7">
        <v>0</v>
      </c>
      <c r="AL39" s="7"/>
      <c r="AM39" s="7">
        <v>0</v>
      </c>
    </row>
    <row r="40" spans="1:39">
      <c r="A40" s="17" t="s">
        <v>67</v>
      </c>
      <c r="B40" s="17"/>
      <c r="C40" s="7">
        <f t="shared" si="1"/>
        <v>0</v>
      </c>
      <c r="E40" s="7">
        <v>0</v>
      </c>
      <c r="F40" s="7"/>
      <c r="G40" s="7">
        <v>0</v>
      </c>
      <c r="H40" s="7"/>
      <c r="I40" s="7">
        <v>0</v>
      </c>
      <c r="J40" s="7"/>
      <c r="K40" s="7">
        <v>0</v>
      </c>
      <c r="L40" s="7"/>
      <c r="M40" s="7">
        <v>0</v>
      </c>
      <c r="N40" s="7"/>
      <c r="O40" s="7">
        <v>0</v>
      </c>
      <c r="P40" s="7"/>
      <c r="Q40" s="7">
        <v>0</v>
      </c>
      <c r="R40" s="7"/>
      <c r="S40" s="7">
        <v>0</v>
      </c>
      <c r="T40" s="7"/>
      <c r="U40" s="7">
        <v>0</v>
      </c>
      <c r="W40" s="7">
        <v>0</v>
      </c>
      <c r="Y40" s="7">
        <v>0</v>
      </c>
      <c r="AA40" s="7">
        <v>0</v>
      </c>
      <c r="AC40" s="7">
        <v>0</v>
      </c>
      <c r="AE40" s="7">
        <v>0</v>
      </c>
      <c r="AF40" s="7"/>
      <c r="AG40" s="7">
        <v>0</v>
      </c>
      <c r="AH40" s="7"/>
      <c r="AI40" s="7">
        <v>0</v>
      </c>
      <c r="AJ40" s="7"/>
      <c r="AK40" s="7">
        <v>0</v>
      </c>
      <c r="AL40" s="7"/>
      <c r="AM40" s="7">
        <v>0</v>
      </c>
    </row>
    <row r="41" spans="1:39">
      <c r="A41" s="17" t="s">
        <v>68</v>
      </c>
      <c r="B41" s="17"/>
      <c r="C41" s="7">
        <f t="shared" si="1"/>
        <v>0</v>
      </c>
      <c r="E41" s="7">
        <v>0</v>
      </c>
      <c r="F41" s="7"/>
      <c r="G41" s="7">
        <v>0</v>
      </c>
      <c r="H41" s="7"/>
      <c r="I41" s="7">
        <v>0</v>
      </c>
      <c r="J41" s="7"/>
      <c r="K41" s="7">
        <v>0</v>
      </c>
      <c r="L41" s="7"/>
      <c r="M41" s="7">
        <v>0</v>
      </c>
      <c r="N41" s="7"/>
      <c r="O41" s="7">
        <v>0</v>
      </c>
      <c r="P41" s="7"/>
      <c r="Q41" s="7">
        <v>0</v>
      </c>
      <c r="R41" s="7"/>
      <c r="S41" s="7">
        <v>0</v>
      </c>
      <c r="T41" s="7"/>
      <c r="U41" s="7">
        <v>0</v>
      </c>
      <c r="W41" s="7">
        <v>0</v>
      </c>
      <c r="Y41" s="7">
        <v>0</v>
      </c>
      <c r="AA41" s="7">
        <v>0</v>
      </c>
      <c r="AC41" s="7">
        <v>0</v>
      </c>
      <c r="AE41" s="7">
        <v>0</v>
      </c>
      <c r="AF41" s="7"/>
      <c r="AG41" s="7">
        <v>0</v>
      </c>
      <c r="AH41" s="7"/>
      <c r="AI41" s="7">
        <v>0</v>
      </c>
      <c r="AJ41" s="7"/>
      <c r="AK41" s="7">
        <v>0</v>
      </c>
      <c r="AL41" s="7"/>
      <c r="AM41" s="7">
        <v>0</v>
      </c>
    </row>
    <row r="42" spans="1:39">
      <c r="A42" s="17" t="s">
        <v>69</v>
      </c>
      <c r="B42" s="17"/>
      <c r="C42" s="7">
        <f t="shared" si="1"/>
        <v>0</v>
      </c>
      <c r="E42" s="7">
        <v>0</v>
      </c>
      <c r="F42" s="7"/>
      <c r="G42" s="7">
        <v>0</v>
      </c>
      <c r="H42" s="7"/>
      <c r="I42" s="7">
        <v>0</v>
      </c>
      <c r="J42" s="7"/>
      <c r="K42" s="7">
        <v>0</v>
      </c>
      <c r="L42" s="7"/>
      <c r="M42" s="7">
        <v>0</v>
      </c>
      <c r="N42" s="7"/>
      <c r="O42" s="7">
        <v>0</v>
      </c>
      <c r="P42" s="7"/>
      <c r="Q42" s="7">
        <v>0</v>
      </c>
      <c r="R42" s="7"/>
      <c r="S42" s="7">
        <v>0</v>
      </c>
      <c r="T42" s="7"/>
      <c r="U42" s="7">
        <v>0</v>
      </c>
      <c r="W42" s="7">
        <v>0</v>
      </c>
      <c r="Y42" s="7">
        <v>0</v>
      </c>
      <c r="AA42" s="7">
        <v>0</v>
      </c>
      <c r="AC42" s="7">
        <v>0</v>
      </c>
      <c r="AE42" s="7">
        <v>0</v>
      </c>
      <c r="AF42" s="7"/>
      <c r="AG42" s="7">
        <v>0</v>
      </c>
      <c r="AH42" s="7"/>
      <c r="AI42" s="7">
        <v>0</v>
      </c>
      <c r="AJ42" s="7"/>
      <c r="AK42" s="7">
        <v>0</v>
      </c>
      <c r="AL42" s="7"/>
      <c r="AM42" s="7">
        <v>0</v>
      </c>
    </row>
    <row r="43" spans="1:39">
      <c r="A43" s="17" t="s">
        <v>70</v>
      </c>
      <c r="B43" s="17"/>
      <c r="C43" s="7">
        <f t="shared" si="1"/>
        <v>0</v>
      </c>
      <c r="E43" s="7">
        <v>0</v>
      </c>
      <c r="F43" s="7"/>
      <c r="G43" s="7">
        <v>0</v>
      </c>
      <c r="H43" s="7"/>
      <c r="I43" s="7">
        <v>0</v>
      </c>
      <c r="J43" s="7"/>
      <c r="K43" s="7">
        <v>0</v>
      </c>
      <c r="L43" s="7"/>
      <c r="M43" s="7">
        <v>0</v>
      </c>
      <c r="N43" s="7"/>
      <c r="O43" s="7">
        <v>0</v>
      </c>
      <c r="P43" s="7"/>
      <c r="Q43" s="7">
        <v>0</v>
      </c>
      <c r="R43" s="7"/>
      <c r="S43" s="7">
        <v>0</v>
      </c>
      <c r="T43" s="7"/>
      <c r="U43" s="7">
        <v>0</v>
      </c>
      <c r="W43" s="7">
        <v>0</v>
      </c>
      <c r="Y43" s="7">
        <v>0</v>
      </c>
      <c r="AA43" s="7">
        <v>0</v>
      </c>
      <c r="AC43" s="7">
        <v>0</v>
      </c>
      <c r="AE43" s="7">
        <v>0</v>
      </c>
      <c r="AF43" s="7"/>
      <c r="AG43" s="7">
        <v>0</v>
      </c>
      <c r="AH43" s="7"/>
      <c r="AI43" s="7">
        <v>0</v>
      </c>
      <c r="AJ43" s="7"/>
      <c r="AK43" s="7">
        <v>0</v>
      </c>
      <c r="AL43" s="7"/>
      <c r="AM43" s="7">
        <v>0</v>
      </c>
    </row>
    <row r="44" spans="1:39">
      <c r="A44" s="17" t="s">
        <v>71</v>
      </c>
      <c r="B44" s="17"/>
      <c r="C44" s="7">
        <f t="shared" si="1"/>
        <v>0</v>
      </c>
      <c r="E44" s="7">
        <v>0</v>
      </c>
      <c r="F44" s="7"/>
      <c r="G44" s="7">
        <v>0</v>
      </c>
      <c r="H44" s="7"/>
      <c r="I44" s="7">
        <v>0</v>
      </c>
      <c r="J44" s="7"/>
      <c r="K44" s="7">
        <v>0</v>
      </c>
      <c r="L44" s="7"/>
      <c r="M44" s="7">
        <v>0</v>
      </c>
      <c r="N44" s="7"/>
      <c r="O44" s="7">
        <v>0</v>
      </c>
      <c r="P44" s="7"/>
      <c r="Q44" s="7">
        <v>0</v>
      </c>
      <c r="R44" s="7"/>
      <c r="S44" s="7">
        <v>0</v>
      </c>
      <c r="T44" s="7"/>
      <c r="U44" s="7">
        <v>0</v>
      </c>
      <c r="W44" s="7">
        <v>0</v>
      </c>
      <c r="Y44" s="7">
        <v>0</v>
      </c>
      <c r="AA44" s="7">
        <v>0</v>
      </c>
      <c r="AC44" s="7">
        <v>0</v>
      </c>
      <c r="AE44" s="7">
        <v>0</v>
      </c>
      <c r="AF44" s="7"/>
      <c r="AG44" s="7">
        <v>0</v>
      </c>
      <c r="AH44" s="7"/>
      <c r="AI44" s="7">
        <v>0</v>
      </c>
      <c r="AJ44" s="7"/>
      <c r="AK44" s="7">
        <v>0</v>
      </c>
      <c r="AL44" s="7"/>
      <c r="AM44" s="7">
        <v>0</v>
      </c>
    </row>
    <row r="45" spans="1:39">
      <c r="A45" s="17" t="s">
        <v>63</v>
      </c>
      <c r="B45" s="17"/>
      <c r="C45" s="7">
        <f t="shared" si="1"/>
        <v>0</v>
      </c>
      <c r="E45" s="7">
        <v>0</v>
      </c>
      <c r="F45" s="7"/>
      <c r="G45" s="7">
        <v>0</v>
      </c>
      <c r="H45" s="7"/>
      <c r="I45" s="7">
        <v>0</v>
      </c>
      <c r="J45" s="7"/>
      <c r="K45" s="7">
        <v>0</v>
      </c>
      <c r="L45" s="7"/>
      <c r="M45" s="7">
        <v>0</v>
      </c>
      <c r="N45" s="7"/>
      <c r="O45" s="7">
        <v>0</v>
      </c>
      <c r="P45" s="7"/>
      <c r="Q45" s="7">
        <v>0</v>
      </c>
      <c r="R45" s="7"/>
      <c r="S45" s="7">
        <v>0</v>
      </c>
      <c r="T45" s="7"/>
      <c r="U45" s="7">
        <v>0</v>
      </c>
      <c r="W45" s="7">
        <v>0</v>
      </c>
      <c r="Y45" s="7">
        <v>0</v>
      </c>
      <c r="AA45" s="7">
        <v>0</v>
      </c>
      <c r="AC45" s="7">
        <v>0</v>
      </c>
      <c r="AE45" s="7">
        <v>0</v>
      </c>
      <c r="AF45" s="7"/>
      <c r="AG45" s="7">
        <v>0</v>
      </c>
      <c r="AH45" s="7"/>
      <c r="AI45" s="7">
        <v>0</v>
      </c>
      <c r="AJ45" s="7"/>
      <c r="AK45" s="7">
        <v>0</v>
      </c>
      <c r="AL45" s="7"/>
      <c r="AM45" s="7">
        <v>0</v>
      </c>
    </row>
    <row r="46" spans="1:39">
      <c r="A46" s="17" t="s">
        <v>72</v>
      </c>
      <c r="B46" s="17"/>
      <c r="C46" s="7">
        <f t="shared" si="1"/>
        <v>13532</v>
      </c>
      <c r="E46" s="7">
        <v>0</v>
      </c>
      <c r="F46" s="7"/>
      <c r="G46" s="7">
        <v>0</v>
      </c>
      <c r="H46" s="7"/>
      <c r="I46" s="7">
        <v>0</v>
      </c>
      <c r="J46" s="7"/>
      <c r="K46" s="7">
        <v>0</v>
      </c>
      <c r="L46" s="7"/>
      <c r="M46" s="7">
        <v>0</v>
      </c>
      <c r="N46" s="7"/>
      <c r="O46" s="7">
        <v>0</v>
      </c>
      <c r="P46" s="7"/>
      <c r="Q46" s="7">
        <v>0</v>
      </c>
      <c r="R46" s="7"/>
      <c r="S46" s="7">
        <v>0</v>
      </c>
      <c r="T46" s="7"/>
      <c r="U46" s="7">
        <v>0</v>
      </c>
      <c r="W46" s="7">
        <v>0</v>
      </c>
      <c r="Y46" s="7">
        <v>0</v>
      </c>
      <c r="AA46" s="7">
        <v>0</v>
      </c>
      <c r="AC46" s="7">
        <v>0</v>
      </c>
      <c r="AE46" s="7">
        <v>0</v>
      </c>
      <c r="AF46" s="7"/>
      <c r="AG46" s="7">
        <v>0</v>
      </c>
      <c r="AH46" s="7"/>
      <c r="AI46" s="7">
        <v>0</v>
      </c>
      <c r="AJ46" s="7"/>
      <c r="AK46" s="7">
        <v>0</v>
      </c>
      <c r="AL46" s="7"/>
      <c r="AM46" s="7">
        <v>13532</v>
      </c>
    </row>
    <row r="47" spans="1:39">
      <c r="A47" s="17" t="s">
        <v>73</v>
      </c>
      <c r="B47" s="17"/>
      <c r="C47" s="7">
        <f t="shared" si="1"/>
        <v>16753</v>
      </c>
      <c r="E47" s="7">
        <v>0</v>
      </c>
      <c r="F47" s="7"/>
      <c r="G47" s="7">
        <v>0</v>
      </c>
      <c r="H47" s="7"/>
      <c r="I47" s="7">
        <v>0</v>
      </c>
      <c r="J47" s="7"/>
      <c r="K47" s="7">
        <v>0</v>
      </c>
      <c r="L47" s="7"/>
      <c r="M47" s="7">
        <v>0</v>
      </c>
      <c r="N47" s="7"/>
      <c r="O47" s="7">
        <v>0</v>
      </c>
      <c r="P47" s="7"/>
      <c r="Q47" s="7">
        <v>0</v>
      </c>
      <c r="R47" s="7"/>
      <c r="S47" s="7">
        <v>0</v>
      </c>
      <c r="T47" s="7"/>
      <c r="U47" s="7">
        <v>0</v>
      </c>
      <c r="W47" s="7">
        <v>0</v>
      </c>
      <c r="Y47" s="7">
        <v>0</v>
      </c>
      <c r="AA47" s="7">
        <v>0</v>
      </c>
      <c r="AC47" s="7">
        <v>0</v>
      </c>
      <c r="AE47" s="7">
        <v>0</v>
      </c>
      <c r="AF47" s="7"/>
      <c r="AG47" s="7">
        <v>0</v>
      </c>
      <c r="AH47" s="7"/>
      <c r="AI47" s="7">
        <v>0</v>
      </c>
      <c r="AJ47" s="7"/>
      <c r="AK47" s="7">
        <v>0</v>
      </c>
      <c r="AL47" s="7"/>
      <c r="AM47" s="7">
        <f>31079-AM48</f>
        <v>16753</v>
      </c>
    </row>
    <row r="48" spans="1:39">
      <c r="A48" s="17" t="s">
        <v>74</v>
      </c>
      <c r="B48" s="17"/>
      <c r="C48" s="7">
        <f t="shared" si="1"/>
        <v>14326</v>
      </c>
      <c r="E48" s="7">
        <v>0</v>
      </c>
      <c r="F48" s="7"/>
      <c r="G48" s="7">
        <v>0</v>
      </c>
      <c r="H48" s="7"/>
      <c r="I48" s="7">
        <v>0</v>
      </c>
      <c r="J48" s="7"/>
      <c r="K48" s="7">
        <v>0</v>
      </c>
      <c r="L48" s="7"/>
      <c r="M48" s="7">
        <v>0</v>
      </c>
      <c r="N48" s="7"/>
      <c r="O48" s="7">
        <v>0</v>
      </c>
      <c r="P48" s="7"/>
      <c r="Q48" s="7">
        <v>0</v>
      </c>
      <c r="R48" s="7"/>
      <c r="S48" s="7">
        <v>0</v>
      </c>
      <c r="T48" s="7"/>
      <c r="U48" s="7">
        <v>0</v>
      </c>
      <c r="W48" s="7">
        <v>0</v>
      </c>
      <c r="Y48" s="7">
        <v>0</v>
      </c>
      <c r="AA48" s="7">
        <v>0</v>
      </c>
      <c r="AC48" s="7">
        <v>0</v>
      </c>
      <c r="AE48" s="7">
        <v>0</v>
      </c>
      <c r="AF48" s="7"/>
      <c r="AG48" s="7">
        <v>0</v>
      </c>
      <c r="AH48" s="7"/>
      <c r="AI48" s="7">
        <v>0</v>
      </c>
      <c r="AJ48" s="7"/>
      <c r="AK48" s="7">
        <v>0</v>
      </c>
      <c r="AL48" s="7"/>
      <c r="AM48" s="7">
        <v>14326</v>
      </c>
    </row>
    <row r="49" spans="1:41">
      <c r="A49" s="17" t="s">
        <v>75</v>
      </c>
      <c r="B49" s="17"/>
      <c r="C49" s="7">
        <f t="shared" si="1"/>
        <v>24654</v>
      </c>
      <c r="E49" s="7">
        <v>0</v>
      </c>
      <c r="F49" s="7"/>
      <c r="G49" s="7">
        <v>0</v>
      </c>
      <c r="H49" s="7"/>
      <c r="I49" s="7">
        <v>0</v>
      </c>
      <c r="J49" s="7"/>
      <c r="K49" s="7">
        <v>0</v>
      </c>
      <c r="L49" s="7"/>
      <c r="M49" s="7">
        <v>0</v>
      </c>
      <c r="N49" s="7"/>
      <c r="O49" s="7">
        <v>0</v>
      </c>
      <c r="P49" s="7"/>
      <c r="Q49" s="7">
        <v>0</v>
      </c>
      <c r="R49" s="7"/>
      <c r="S49" s="7">
        <v>0</v>
      </c>
      <c r="T49" s="7"/>
      <c r="U49" s="7">
        <v>0</v>
      </c>
      <c r="W49" s="7">
        <v>0</v>
      </c>
      <c r="Y49" s="7">
        <v>0</v>
      </c>
      <c r="AA49" s="7">
        <v>0</v>
      </c>
      <c r="AC49" s="7">
        <v>0</v>
      </c>
      <c r="AE49" s="7">
        <v>0</v>
      </c>
      <c r="AF49" s="7"/>
      <c r="AG49" s="7">
        <v>0</v>
      </c>
      <c r="AH49" s="7"/>
      <c r="AI49" s="7">
        <v>0</v>
      </c>
      <c r="AJ49" s="7"/>
      <c r="AK49" s="7">
        <v>0</v>
      </c>
      <c r="AL49" s="7"/>
      <c r="AM49" s="7">
        <v>24654</v>
      </c>
    </row>
    <row r="50" spans="1:41">
      <c r="A50" s="17" t="s">
        <v>76</v>
      </c>
      <c r="B50" s="17"/>
      <c r="C50" s="7">
        <f t="shared" si="1"/>
        <v>12587</v>
      </c>
      <c r="E50" s="7">
        <v>0</v>
      </c>
      <c r="F50" s="7"/>
      <c r="G50" s="7">
        <v>0</v>
      </c>
      <c r="H50" s="7"/>
      <c r="I50" s="7">
        <v>0</v>
      </c>
      <c r="J50" s="7"/>
      <c r="K50" s="7">
        <v>0</v>
      </c>
      <c r="L50" s="7"/>
      <c r="M50" s="7">
        <v>0</v>
      </c>
      <c r="N50" s="7"/>
      <c r="O50" s="7">
        <v>0</v>
      </c>
      <c r="P50" s="7"/>
      <c r="Q50" s="7">
        <v>0</v>
      </c>
      <c r="R50" s="7"/>
      <c r="S50" s="7">
        <v>0</v>
      </c>
      <c r="T50" s="7"/>
      <c r="U50" s="7">
        <v>0</v>
      </c>
      <c r="W50" s="7">
        <v>0</v>
      </c>
      <c r="Y50" s="7">
        <v>0</v>
      </c>
      <c r="AA50" s="7">
        <v>0</v>
      </c>
      <c r="AC50" s="7">
        <v>0</v>
      </c>
      <c r="AE50" s="7">
        <v>0</v>
      </c>
      <c r="AF50" s="7"/>
      <c r="AG50" s="7">
        <v>0</v>
      </c>
      <c r="AH50" s="7"/>
      <c r="AI50" s="7">
        <v>0</v>
      </c>
      <c r="AJ50" s="7"/>
      <c r="AK50" s="7">
        <v>0</v>
      </c>
      <c r="AL50" s="7"/>
      <c r="AM50" s="7">
        <f>10346+2241</f>
        <v>12587</v>
      </c>
    </row>
    <row r="51" spans="1:41">
      <c r="A51" s="17" t="s">
        <v>77</v>
      </c>
      <c r="B51" s="17"/>
      <c r="C51" s="7">
        <f t="shared" si="1"/>
        <v>51714</v>
      </c>
      <c r="E51" s="7">
        <v>0</v>
      </c>
      <c r="F51" s="7"/>
      <c r="G51" s="7">
        <v>0</v>
      </c>
      <c r="H51" s="7"/>
      <c r="I51" s="7">
        <v>0</v>
      </c>
      <c r="J51" s="7"/>
      <c r="K51" s="7">
        <v>0</v>
      </c>
      <c r="L51" s="7"/>
      <c r="M51" s="7">
        <v>0</v>
      </c>
      <c r="N51" s="7"/>
      <c r="O51" s="7">
        <v>0</v>
      </c>
      <c r="P51" s="7"/>
      <c r="Q51" s="7">
        <v>0</v>
      </c>
      <c r="R51" s="7"/>
      <c r="S51" s="7">
        <v>0</v>
      </c>
      <c r="T51" s="7"/>
      <c r="U51" s="7">
        <v>0</v>
      </c>
      <c r="W51" s="7">
        <v>0</v>
      </c>
      <c r="Y51" s="7">
        <v>0</v>
      </c>
      <c r="AA51" s="7">
        <v>0</v>
      </c>
      <c r="AC51" s="7">
        <v>0</v>
      </c>
      <c r="AE51" s="7">
        <v>0</v>
      </c>
      <c r="AF51" s="7"/>
      <c r="AG51" s="7">
        <v>0</v>
      </c>
      <c r="AH51" s="7"/>
      <c r="AI51" s="7">
        <v>0</v>
      </c>
      <c r="AJ51" s="7"/>
      <c r="AK51" s="7">
        <v>0</v>
      </c>
      <c r="AL51" s="7"/>
      <c r="AM51" s="7">
        <v>51714</v>
      </c>
    </row>
    <row r="52" spans="1:41" s="3" customFormat="1">
      <c r="A52" s="18" t="s">
        <v>78</v>
      </c>
      <c r="B52" s="18"/>
      <c r="C52" s="7">
        <f t="shared" si="1"/>
        <v>22588</v>
      </c>
      <c r="E52" s="8">
        <v>0</v>
      </c>
      <c r="F52" s="8"/>
      <c r="G52" s="8">
        <v>0</v>
      </c>
      <c r="H52" s="8"/>
      <c r="I52" s="8">
        <v>0</v>
      </c>
      <c r="J52" s="8"/>
      <c r="K52" s="8">
        <v>0</v>
      </c>
      <c r="L52" s="8"/>
      <c r="M52" s="8">
        <v>0</v>
      </c>
      <c r="N52" s="8"/>
      <c r="O52" s="8">
        <v>0</v>
      </c>
      <c r="P52" s="8"/>
      <c r="Q52" s="8">
        <v>0</v>
      </c>
      <c r="R52" s="8"/>
      <c r="S52" s="8">
        <v>0</v>
      </c>
      <c r="T52" s="8"/>
      <c r="U52" s="8">
        <v>0</v>
      </c>
      <c r="W52" s="8">
        <v>0</v>
      </c>
      <c r="Y52" s="8">
        <v>0</v>
      </c>
      <c r="AA52" s="8">
        <v>0</v>
      </c>
      <c r="AC52" s="8">
        <v>0</v>
      </c>
      <c r="AE52" s="8">
        <v>0</v>
      </c>
      <c r="AF52" s="8"/>
      <c r="AG52" s="8">
        <v>0</v>
      </c>
      <c r="AH52" s="8"/>
      <c r="AI52" s="8">
        <v>0</v>
      </c>
      <c r="AJ52" s="8"/>
      <c r="AK52" s="8">
        <v>0</v>
      </c>
      <c r="AL52" s="8"/>
      <c r="AM52" s="8">
        <f>22588</f>
        <v>22588</v>
      </c>
      <c r="AO52" s="19"/>
    </row>
    <row r="53" spans="1:41" s="3" customFormat="1">
      <c r="A53" s="20" t="s">
        <v>79</v>
      </c>
      <c r="B53" s="18"/>
      <c r="C53" s="7">
        <f t="shared" si="1"/>
        <v>129967</v>
      </c>
      <c r="E53" s="8">
        <v>0</v>
      </c>
      <c r="F53" s="8"/>
      <c r="G53" s="8">
        <v>0</v>
      </c>
      <c r="H53" s="8"/>
      <c r="I53" s="8">
        <v>0</v>
      </c>
      <c r="J53" s="8"/>
      <c r="K53" s="8">
        <v>0</v>
      </c>
      <c r="L53" s="8"/>
      <c r="M53" s="8">
        <v>0</v>
      </c>
      <c r="N53" s="8"/>
      <c r="O53" s="8">
        <v>0</v>
      </c>
      <c r="P53" s="8"/>
      <c r="Q53" s="8">
        <v>0</v>
      </c>
      <c r="R53" s="8"/>
      <c r="S53" s="8">
        <v>0</v>
      </c>
      <c r="T53" s="8"/>
      <c r="U53" s="8">
        <v>0</v>
      </c>
      <c r="W53" s="8">
        <v>0</v>
      </c>
      <c r="Y53" s="8">
        <v>0</v>
      </c>
      <c r="AA53" s="8">
        <v>0</v>
      </c>
      <c r="AC53" s="8">
        <v>0</v>
      </c>
      <c r="AE53" s="8">
        <v>0</v>
      </c>
      <c r="AF53" s="8"/>
      <c r="AG53" s="8">
        <v>0</v>
      </c>
      <c r="AH53" s="8"/>
      <c r="AI53" s="8">
        <v>0</v>
      </c>
      <c r="AJ53" s="8"/>
      <c r="AK53" s="8">
        <v>0</v>
      </c>
      <c r="AL53" s="8"/>
      <c r="AM53" s="8">
        <f>129967</f>
        <v>129967</v>
      </c>
      <c r="AO53" s="19"/>
    </row>
    <row r="54" spans="1:41" s="3" customFormat="1">
      <c r="A54" s="20" t="s">
        <v>57</v>
      </c>
      <c r="B54" s="18"/>
      <c r="C54" s="7">
        <f t="shared" si="1"/>
        <v>-356243</v>
      </c>
      <c r="E54" s="8">
        <v>0</v>
      </c>
      <c r="F54" s="8"/>
      <c r="G54" s="8">
        <v>0</v>
      </c>
      <c r="H54" s="8"/>
      <c r="I54" s="8">
        <v>0</v>
      </c>
      <c r="J54" s="8"/>
      <c r="K54" s="8">
        <v>0</v>
      </c>
      <c r="L54" s="8"/>
      <c r="M54" s="8">
        <v>0</v>
      </c>
      <c r="N54" s="8"/>
      <c r="O54" s="8">
        <v>0</v>
      </c>
      <c r="P54" s="8"/>
      <c r="Q54" s="8">
        <v>0</v>
      </c>
      <c r="R54" s="8"/>
      <c r="S54" s="8">
        <v>0</v>
      </c>
      <c r="T54" s="8"/>
      <c r="U54" s="8">
        <v>0</v>
      </c>
      <c r="W54" s="8">
        <v>0</v>
      </c>
      <c r="Y54" s="8">
        <v>0</v>
      </c>
      <c r="AA54" s="8">
        <v>0</v>
      </c>
      <c r="AC54" s="8">
        <v>0</v>
      </c>
      <c r="AE54" s="8">
        <v>0</v>
      </c>
      <c r="AF54" s="8"/>
      <c r="AG54" s="8">
        <v>0</v>
      </c>
      <c r="AH54" s="8"/>
      <c r="AI54" s="8">
        <v>0</v>
      </c>
      <c r="AJ54" s="8"/>
      <c r="AK54" s="8">
        <v>0</v>
      </c>
      <c r="AL54" s="8"/>
      <c r="AM54" s="8">
        <v>-356243</v>
      </c>
      <c r="AO54" s="19"/>
    </row>
    <row r="55" spans="1:41" s="3" customFormat="1">
      <c r="A55" s="20" t="s">
        <v>80</v>
      </c>
      <c r="B55" s="18"/>
      <c r="C55" s="7">
        <f t="shared" si="1"/>
        <v>106325</v>
      </c>
      <c r="E55" s="8">
        <v>0</v>
      </c>
      <c r="F55" s="8"/>
      <c r="G55" s="8">
        <v>0</v>
      </c>
      <c r="H55" s="8"/>
      <c r="I55" s="8">
        <v>0</v>
      </c>
      <c r="J55" s="8"/>
      <c r="K55" s="8">
        <v>0</v>
      </c>
      <c r="L55" s="8"/>
      <c r="M55" s="8">
        <v>0</v>
      </c>
      <c r="N55" s="8"/>
      <c r="O55" s="8">
        <v>0</v>
      </c>
      <c r="P55" s="8"/>
      <c r="Q55" s="8">
        <v>0</v>
      </c>
      <c r="R55" s="8"/>
      <c r="S55" s="8">
        <v>0</v>
      </c>
      <c r="T55" s="8"/>
      <c r="U55" s="8">
        <v>0</v>
      </c>
      <c r="W55" s="8">
        <v>0</v>
      </c>
      <c r="Y55" s="8">
        <v>0</v>
      </c>
      <c r="AA55" s="8">
        <v>0</v>
      </c>
      <c r="AC55" s="8">
        <v>0</v>
      </c>
      <c r="AE55" s="8">
        <v>0</v>
      </c>
      <c r="AF55" s="8"/>
      <c r="AG55" s="8">
        <v>0</v>
      </c>
      <c r="AH55" s="8"/>
      <c r="AI55" s="8">
        <v>0</v>
      </c>
      <c r="AJ55" s="8"/>
      <c r="AK55" s="8">
        <v>0</v>
      </c>
      <c r="AL55" s="8"/>
      <c r="AM55" s="8">
        <v>106325</v>
      </c>
      <c r="AO55" s="19"/>
    </row>
    <row r="56" spans="1:41" s="3" customFormat="1">
      <c r="A56" s="20" t="s">
        <v>81</v>
      </c>
      <c r="B56" s="18"/>
      <c r="C56" s="7">
        <f t="shared" si="1"/>
        <v>21842</v>
      </c>
      <c r="E56" s="8">
        <v>0</v>
      </c>
      <c r="F56" s="8"/>
      <c r="G56" s="8">
        <v>0</v>
      </c>
      <c r="H56" s="8"/>
      <c r="I56" s="8">
        <v>0</v>
      </c>
      <c r="J56" s="8"/>
      <c r="K56" s="8">
        <v>0</v>
      </c>
      <c r="L56" s="8"/>
      <c r="M56" s="8">
        <v>0</v>
      </c>
      <c r="N56" s="8"/>
      <c r="O56" s="8">
        <v>0</v>
      </c>
      <c r="P56" s="8"/>
      <c r="Q56" s="8">
        <v>0</v>
      </c>
      <c r="R56" s="8"/>
      <c r="S56" s="8">
        <v>0</v>
      </c>
      <c r="T56" s="8"/>
      <c r="U56" s="8">
        <v>0</v>
      </c>
      <c r="W56" s="8">
        <v>0</v>
      </c>
      <c r="Y56" s="8">
        <v>0</v>
      </c>
      <c r="AA56" s="8">
        <v>0</v>
      </c>
      <c r="AC56" s="8">
        <v>0</v>
      </c>
      <c r="AE56" s="8">
        <v>0</v>
      </c>
      <c r="AF56" s="8"/>
      <c r="AG56" s="8">
        <v>0</v>
      </c>
      <c r="AH56" s="8"/>
      <c r="AI56" s="8">
        <v>0</v>
      </c>
      <c r="AJ56" s="8"/>
      <c r="AK56" s="8">
        <v>0</v>
      </c>
      <c r="AL56" s="8"/>
      <c r="AM56" s="8">
        <v>21842</v>
      </c>
      <c r="AO56" s="19"/>
    </row>
    <row r="57" spans="1:41" s="3" customFormat="1">
      <c r="A57" s="20" t="s">
        <v>36</v>
      </c>
      <c r="B57" s="18"/>
      <c r="C57" s="7">
        <f t="shared" si="1"/>
        <v>43745</v>
      </c>
      <c r="E57" s="8">
        <v>0</v>
      </c>
      <c r="F57" s="8"/>
      <c r="G57" s="8">
        <v>0</v>
      </c>
      <c r="H57" s="8"/>
      <c r="I57" s="8">
        <v>0</v>
      </c>
      <c r="J57" s="8"/>
      <c r="K57" s="8">
        <v>0</v>
      </c>
      <c r="L57" s="8"/>
      <c r="M57" s="8">
        <v>0</v>
      </c>
      <c r="N57" s="8"/>
      <c r="O57" s="8">
        <v>0</v>
      </c>
      <c r="P57" s="8"/>
      <c r="Q57" s="8">
        <v>0</v>
      </c>
      <c r="R57" s="8"/>
      <c r="S57" s="8">
        <v>0</v>
      </c>
      <c r="T57" s="8"/>
      <c r="U57" s="8">
        <v>0</v>
      </c>
      <c r="W57" s="8">
        <v>0</v>
      </c>
      <c r="Y57" s="8">
        <v>0</v>
      </c>
      <c r="AA57" s="8">
        <v>0</v>
      </c>
      <c r="AC57" s="8">
        <v>0</v>
      </c>
      <c r="AE57" s="8">
        <v>0</v>
      </c>
      <c r="AF57" s="8"/>
      <c r="AG57" s="8">
        <v>0</v>
      </c>
      <c r="AH57" s="8"/>
      <c r="AI57" s="8">
        <v>0</v>
      </c>
      <c r="AJ57" s="8"/>
      <c r="AK57" s="8">
        <v>0</v>
      </c>
      <c r="AL57" s="8"/>
      <c r="AM57" s="8">
        <v>43745</v>
      </c>
      <c r="AO57" s="19"/>
    </row>
    <row r="58" spans="1:41" s="3" customFormat="1">
      <c r="A58" s="20" t="s">
        <v>82</v>
      </c>
      <c r="B58" s="18"/>
      <c r="C58" s="7">
        <f t="shared" si="1"/>
        <v>17669</v>
      </c>
      <c r="E58" s="8">
        <v>0</v>
      </c>
      <c r="F58" s="8"/>
      <c r="G58" s="8">
        <v>0</v>
      </c>
      <c r="H58" s="8"/>
      <c r="I58" s="8">
        <v>0</v>
      </c>
      <c r="J58" s="8"/>
      <c r="K58" s="8">
        <v>0</v>
      </c>
      <c r="L58" s="8"/>
      <c r="M58" s="8">
        <v>0</v>
      </c>
      <c r="N58" s="8"/>
      <c r="O58" s="8">
        <v>0</v>
      </c>
      <c r="P58" s="8"/>
      <c r="Q58" s="8">
        <v>0</v>
      </c>
      <c r="R58" s="8"/>
      <c r="S58" s="8">
        <v>0</v>
      </c>
      <c r="T58" s="8"/>
      <c r="U58" s="8">
        <v>0</v>
      </c>
      <c r="W58" s="8">
        <v>0</v>
      </c>
      <c r="Y58" s="8">
        <v>0</v>
      </c>
      <c r="AA58" s="8">
        <v>0</v>
      </c>
      <c r="AC58" s="8">
        <v>0</v>
      </c>
      <c r="AE58" s="8">
        <v>0</v>
      </c>
      <c r="AF58" s="8"/>
      <c r="AG58" s="8">
        <v>0</v>
      </c>
      <c r="AH58" s="8"/>
      <c r="AI58" s="8">
        <v>0</v>
      </c>
      <c r="AJ58" s="8"/>
      <c r="AK58" s="8">
        <v>0</v>
      </c>
      <c r="AL58" s="8"/>
      <c r="AM58" s="8">
        <v>17669</v>
      </c>
      <c r="AO58" s="19"/>
    </row>
    <row r="59" spans="1:41">
      <c r="A59" s="20" t="s">
        <v>12</v>
      </c>
      <c r="B59" s="17"/>
      <c r="C59" s="21">
        <f t="shared" si="1"/>
        <v>83415</v>
      </c>
      <c r="E59" s="21">
        <v>0</v>
      </c>
      <c r="F59" s="8"/>
      <c r="G59" s="21">
        <v>0</v>
      </c>
      <c r="H59" s="8"/>
      <c r="I59" s="21">
        <v>0</v>
      </c>
      <c r="J59" s="8"/>
      <c r="K59" s="21">
        <v>0</v>
      </c>
      <c r="L59" s="8"/>
      <c r="M59" s="21">
        <v>0</v>
      </c>
      <c r="N59" s="8"/>
      <c r="O59" s="21">
        <v>0</v>
      </c>
      <c r="P59" s="8"/>
      <c r="Q59" s="21">
        <v>0</v>
      </c>
      <c r="R59" s="8"/>
      <c r="S59" s="21">
        <v>0</v>
      </c>
      <c r="T59" s="8"/>
      <c r="U59" s="21">
        <v>0</v>
      </c>
      <c r="W59" s="21">
        <v>0</v>
      </c>
      <c r="Y59" s="21">
        <v>0</v>
      </c>
      <c r="AA59" s="21">
        <v>0</v>
      </c>
      <c r="AC59" s="21">
        <v>0</v>
      </c>
      <c r="AE59" s="21">
        <v>0</v>
      </c>
      <c r="AF59" s="8"/>
      <c r="AG59" s="21">
        <v>0</v>
      </c>
      <c r="AH59" s="8"/>
      <c r="AI59" s="21">
        <v>0</v>
      </c>
      <c r="AJ59" s="8"/>
      <c r="AK59" s="21">
        <v>0</v>
      </c>
      <c r="AL59" s="8"/>
      <c r="AM59" s="6">
        <f>13131+7845+3387+2647+82804-49035+22636</f>
        <v>83415</v>
      </c>
    </row>
    <row r="60" spans="1:41" ht="13.5" thickBot="1">
      <c r="A60" s="17" t="s">
        <v>6</v>
      </c>
      <c r="B60" s="17"/>
      <c r="C60" s="15">
        <f>SUM(C39:C59)</f>
        <v>202874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202874</v>
      </c>
    </row>
    <row r="61" spans="1:41" ht="13.5" thickTop="1"/>
    <row r="62" spans="1:41">
      <c r="AM62" s="1">
        <f>+AM60-AM32</f>
        <v>0</v>
      </c>
    </row>
    <row r="65" spans="1:1">
      <c r="A65" s="22" t="str">
        <f ca="1">CELL("filename",A1)</f>
        <v>C:\Users\Felienne\Enron\EnronSpreadsheets\[tracy_geaccone__40169__Aug 2001 G&amp;A est.xls]Expenses-YTD Aug 2001</v>
      </c>
    </row>
    <row r="66" spans="1:1">
      <c r="A66" s="26">
        <f ca="1">NOW()</f>
        <v>41887.550950810182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2">
    <pageSetUpPr fitToPage="1"/>
  </sheetPr>
  <dimension ref="A1:AO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7" sqref="I7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customWidth="1"/>
    <col min="4" max="4" width="1.7109375" style="1" customWidth="1"/>
    <col min="5" max="5" width="10.7109375" style="1" customWidth="1"/>
    <col min="6" max="6" width="1.7109375" style="1" customWidth="1"/>
    <col min="7" max="7" width="10.7109375" style="1" customWidth="1"/>
    <col min="8" max="8" width="1.7109375" style="1" customWidth="1"/>
    <col min="9" max="9" width="10.7109375" style="1" customWidth="1"/>
    <col min="10" max="10" width="1.7109375" style="1" customWidth="1"/>
    <col min="11" max="11" width="10.7109375" style="1" customWidth="1"/>
    <col min="12" max="12" width="1.7109375" style="1" customWidth="1"/>
    <col min="13" max="13" width="10.7109375" style="1" customWidth="1"/>
    <col min="14" max="14" width="1.7109375" style="1" customWidth="1"/>
    <col min="15" max="15" width="10.7109375" style="1" customWidth="1"/>
    <col min="16" max="16" width="1.7109375" style="1" customWidth="1"/>
    <col min="17" max="17" width="10.7109375" style="1" customWidth="1"/>
    <col min="18" max="18" width="1.7109375" style="1" customWidth="1"/>
    <col min="19" max="19" width="10.7109375" style="1" customWidth="1"/>
    <col min="20" max="20" width="1.7109375" style="1" customWidth="1"/>
    <col min="21" max="21" width="10.7109375" style="1" customWidth="1"/>
    <col min="22" max="22" width="1.7109375" style="1" customWidth="1"/>
    <col min="23" max="23" width="10.7109375" style="1" customWidth="1"/>
    <col min="24" max="24" width="1.7109375" style="1" customWidth="1"/>
    <col min="25" max="25" width="10.7109375" style="1" customWidth="1"/>
    <col min="26" max="26" width="1.7109375" style="1" customWidth="1"/>
    <col min="27" max="27" width="9.7109375" style="1" customWidth="1"/>
    <col min="28" max="28" width="1.7109375" style="1" customWidth="1"/>
    <col min="29" max="29" width="10.7109375" style="1" customWidth="1"/>
    <col min="30" max="30" width="1.7109375" style="1" customWidth="1"/>
    <col min="31" max="31" width="10.7109375" style="1" customWidth="1"/>
    <col min="32" max="32" width="1.7109375" style="1" customWidth="1"/>
    <col min="33" max="33" width="10.7109375" style="1" customWidth="1"/>
    <col min="34" max="34" width="1.7109375" style="1" customWidth="1"/>
    <col min="35" max="35" width="10.7109375" style="1" customWidth="1"/>
    <col min="36" max="36" width="1.7109375" style="1" customWidth="1"/>
    <col min="37" max="37" width="10.7109375" style="1" customWidth="1"/>
    <col min="38" max="38" width="1.7109375" style="1" customWidth="1"/>
    <col min="39" max="39" width="10.7109375" style="1" customWidth="1"/>
    <col min="40" max="40" width="8.5703125" style="1" customWidth="1"/>
    <col min="41" max="41" width="14.28515625" style="2"/>
    <col min="42" max="16384" width="14.285156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84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0</v>
      </c>
      <c r="D9" s="8"/>
      <c r="E9" s="9">
        <v>0</v>
      </c>
      <c r="F9" s="7"/>
      <c r="G9" s="9">
        <v>0</v>
      </c>
      <c r="H9" s="7"/>
      <c r="I9" s="9">
        <v>0</v>
      </c>
      <c r="J9" s="7"/>
      <c r="K9" s="9">
        <v>0</v>
      </c>
      <c r="L9" s="7"/>
      <c r="M9" s="9">
        <v>0</v>
      </c>
      <c r="N9" s="7"/>
      <c r="O9" s="9">
        <v>0</v>
      </c>
      <c r="P9" s="7"/>
      <c r="Q9" s="9">
        <v>0</v>
      </c>
      <c r="R9" s="7"/>
      <c r="S9" s="9">
        <v>0</v>
      </c>
      <c r="T9" s="7"/>
      <c r="U9" s="9">
        <v>0</v>
      </c>
      <c r="W9" s="9">
        <v>0</v>
      </c>
      <c r="Y9" s="9">
        <v>0</v>
      </c>
      <c r="AA9" s="9">
        <v>0</v>
      </c>
      <c r="AC9" s="9">
        <v>0</v>
      </c>
      <c r="AE9" s="9">
        <v>0</v>
      </c>
      <c r="AF9" s="7"/>
      <c r="AG9" s="9">
        <v>0</v>
      </c>
      <c r="AH9" s="7"/>
      <c r="AI9" s="9">
        <v>0</v>
      </c>
      <c r="AJ9" s="7"/>
      <c r="AK9" s="9">
        <v>0</v>
      </c>
      <c r="AL9" s="7"/>
      <c r="AM9" s="9">
        <v>0</v>
      </c>
      <c r="AO9" s="2">
        <v>52000500</v>
      </c>
    </row>
    <row r="10" spans="1:41">
      <c r="A10" s="1" t="s">
        <v>24</v>
      </c>
      <c r="C10" s="7">
        <f t="shared" si="0"/>
        <v>0</v>
      </c>
      <c r="D10" s="8"/>
      <c r="E10" s="9">
        <v>0</v>
      </c>
      <c r="F10" s="7"/>
      <c r="G10" s="9">
        <v>0</v>
      </c>
      <c r="H10" s="7"/>
      <c r="I10" s="9">
        <v>0</v>
      </c>
      <c r="J10" s="7"/>
      <c r="K10" s="9">
        <v>0</v>
      </c>
      <c r="L10" s="7"/>
      <c r="M10" s="9">
        <v>0</v>
      </c>
      <c r="N10" s="7"/>
      <c r="O10" s="9">
        <v>0</v>
      </c>
      <c r="P10" s="7"/>
      <c r="Q10" s="9">
        <v>0</v>
      </c>
      <c r="R10" s="7"/>
      <c r="S10" s="9">
        <v>0</v>
      </c>
      <c r="T10" s="7"/>
      <c r="U10" s="9">
        <v>0</v>
      </c>
      <c r="W10" s="9">
        <v>0</v>
      </c>
      <c r="Y10" s="9">
        <v>0</v>
      </c>
      <c r="AA10" s="9">
        <v>0</v>
      </c>
      <c r="AC10" s="9">
        <v>0</v>
      </c>
      <c r="AE10" s="9">
        <v>0</v>
      </c>
      <c r="AF10" s="7"/>
      <c r="AG10" s="9">
        <v>0</v>
      </c>
      <c r="AH10" s="7"/>
      <c r="AI10" s="9">
        <v>0</v>
      </c>
      <c r="AJ10" s="7"/>
      <c r="AK10" s="9">
        <v>0</v>
      </c>
      <c r="AL10" s="7"/>
      <c r="AM10" s="9">
        <v>0</v>
      </c>
      <c r="AO10" s="2" t="s">
        <v>25</v>
      </c>
    </row>
    <row r="11" spans="1:41">
      <c r="A11" s="1" t="s">
        <v>26</v>
      </c>
      <c r="C11" s="7">
        <f t="shared" si="0"/>
        <v>0</v>
      </c>
      <c r="D11" s="8"/>
      <c r="E11" s="9">
        <v>0</v>
      </c>
      <c r="F11" s="7"/>
      <c r="G11" s="9">
        <v>0</v>
      </c>
      <c r="H11" s="7"/>
      <c r="I11" s="9">
        <v>0</v>
      </c>
      <c r="J11" s="7"/>
      <c r="K11" s="9">
        <v>0</v>
      </c>
      <c r="L11" s="7"/>
      <c r="M11" s="9">
        <v>0</v>
      </c>
      <c r="N11" s="7"/>
      <c r="O11" s="9">
        <v>0</v>
      </c>
      <c r="P11" s="7"/>
      <c r="Q11" s="9">
        <v>0</v>
      </c>
      <c r="R11" s="7"/>
      <c r="S11" s="9">
        <v>0</v>
      </c>
      <c r="T11" s="7"/>
      <c r="U11" s="9">
        <v>0</v>
      </c>
      <c r="W11" s="9">
        <v>0</v>
      </c>
      <c r="Y11" s="9">
        <v>0</v>
      </c>
      <c r="AA11" s="9">
        <v>0</v>
      </c>
      <c r="AC11" s="9">
        <v>0</v>
      </c>
      <c r="AE11" s="9">
        <v>0</v>
      </c>
      <c r="AF11" s="7"/>
      <c r="AG11" s="9">
        <v>0</v>
      </c>
      <c r="AH11" s="7"/>
      <c r="AI11" s="9">
        <v>0</v>
      </c>
      <c r="AJ11" s="7"/>
      <c r="AK11" s="9">
        <v>0</v>
      </c>
      <c r="AL11" s="7"/>
      <c r="AM11" s="9">
        <v>0</v>
      </c>
      <c r="AO11" s="2" t="s">
        <v>27</v>
      </c>
    </row>
    <row r="12" spans="1:41">
      <c r="A12" s="1" t="s">
        <v>28</v>
      </c>
      <c r="C12" s="7">
        <f t="shared" si="0"/>
        <v>0</v>
      </c>
      <c r="D12" s="8"/>
      <c r="E12" s="9">
        <v>0</v>
      </c>
      <c r="F12" s="9"/>
      <c r="G12" s="9">
        <v>0</v>
      </c>
      <c r="H12" s="9"/>
      <c r="I12" s="9">
        <v>0</v>
      </c>
      <c r="J12" s="9"/>
      <c r="K12" s="9">
        <v>0</v>
      </c>
      <c r="L12" s="9"/>
      <c r="M12" s="9">
        <v>0</v>
      </c>
      <c r="N12" s="9"/>
      <c r="O12" s="9">
        <v>0</v>
      </c>
      <c r="P12" s="9"/>
      <c r="Q12" s="9">
        <v>0</v>
      </c>
      <c r="R12" s="7"/>
      <c r="S12" s="9">
        <v>0</v>
      </c>
      <c r="T12" s="9"/>
      <c r="U12" s="9">
        <v>0</v>
      </c>
      <c r="V12" s="10"/>
      <c r="W12" s="9">
        <v>0</v>
      </c>
      <c r="Y12" s="9">
        <v>0</v>
      </c>
      <c r="AA12" s="9">
        <v>0</v>
      </c>
      <c r="AC12" s="9">
        <v>0</v>
      </c>
      <c r="AE12" s="9">
        <v>0</v>
      </c>
      <c r="AF12" s="7"/>
      <c r="AG12" s="9">
        <v>0</v>
      </c>
      <c r="AH12" s="7"/>
      <c r="AI12" s="9">
        <v>0</v>
      </c>
      <c r="AJ12" s="7"/>
      <c r="AK12" s="9">
        <v>0</v>
      </c>
      <c r="AL12" s="7"/>
      <c r="AM12" s="9">
        <v>0</v>
      </c>
      <c r="AO12" s="2" t="s">
        <v>29</v>
      </c>
    </row>
    <row r="13" spans="1:41">
      <c r="A13" s="1" t="s">
        <v>30</v>
      </c>
      <c r="C13" s="7">
        <f t="shared" si="0"/>
        <v>0</v>
      </c>
      <c r="D13" s="8"/>
      <c r="E13" s="9">
        <v>0</v>
      </c>
      <c r="F13" s="9"/>
      <c r="G13" s="9">
        <v>0</v>
      </c>
      <c r="H13" s="9"/>
      <c r="I13" s="9">
        <v>0</v>
      </c>
      <c r="J13" s="9"/>
      <c r="K13" s="9">
        <v>0</v>
      </c>
      <c r="L13" s="9"/>
      <c r="M13" s="9">
        <v>0</v>
      </c>
      <c r="N13" s="9"/>
      <c r="O13" s="9">
        <v>0</v>
      </c>
      <c r="P13" s="9"/>
      <c r="Q13" s="9">
        <v>0</v>
      </c>
      <c r="R13" s="7"/>
      <c r="S13" s="9">
        <v>0</v>
      </c>
      <c r="T13" s="9"/>
      <c r="U13" s="9">
        <v>0</v>
      </c>
      <c r="V13" s="10"/>
      <c r="W13" s="9">
        <v>0</v>
      </c>
      <c r="Y13" s="9">
        <v>0</v>
      </c>
      <c r="AA13" s="9">
        <v>0</v>
      </c>
      <c r="AC13" s="9">
        <v>0</v>
      </c>
      <c r="AE13" s="9">
        <v>0</v>
      </c>
      <c r="AF13" s="7"/>
      <c r="AG13" s="9">
        <v>0</v>
      </c>
      <c r="AH13" s="7"/>
      <c r="AI13" s="9">
        <v>0</v>
      </c>
      <c r="AJ13" s="7"/>
      <c r="AK13" s="9">
        <v>0</v>
      </c>
      <c r="AL13" s="7"/>
      <c r="AM13" s="9">
        <v>0</v>
      </c>
      <c r="AO13" s="2" t="s">
        <v>31</v>
      </c>
    </row>
    <row r="14" spans="1:41">
      <c r="A14" s="1" t="s">
        <v>32</v>
      </c>
      <c r="C14" s="7">
        <f t="shared" si="0"/>
        <v>0</v>
      </c>
      <c r="D14" s="8"/>
      <c r="E14" s="9">
        <v>0</v>
      </c>
      <c r="F14" s="9"/>
      <c r="G14" s="9">
        <v>0</v>
      </c>
      <c r="H14" s="9"/>
      <c r="I14" s="9">
        <v>0</v>
      </c>
      <c r="J14" s="9"/>
      <c r="K14" s="9">
        <v>0</v>
      </c>
      <c r="L14" s="9"/>
      <c r="M14" s="9">
        <v>0</v>
      </c>
      <c r="N14" s="9"/>
      <c r="O14" s="9">
        <v>0</v>
      </c>
      <c r="P14" s="9"/>
      <c r="Q14" s="9">
        <v>0</v>
      </c>
      <c r="R14" s="7"/>
      <c r="S14" s="9">
        <v>0</v>
      </c>
      <c r="T14" s="9"/>
      <c r="U14" s="9">
        <v>0</v>
      </c>
      <c r="V14" s="10"/>
      <c r="W14" s="9">
        <v>0</v>
      </c>
      <c r="Y14" s="9">
        <v>0</v>
      </c>
      <c r="AA14" s="9">
        <v>0</v>
      </c>
      <c r="AC14" s="9">
        <v>0</v>
      </c>
      <c r="AE14" s="9">
        <v>0</v>
      </c>
      <c r="AF14" s="7"/>
      <c r="AG14" s="9">
        <v>0</v>
      </c>
      <c r="AH14" s="7"/>
      <c r="AI14" s="9">
        <v>0</v>
      </c>
      <c r="AJ14" s="7"/>
      <c r="AK14" s="9">
        <v>0</v>
      </c>
      <c r="AL14" s="7"/>
      <c r="AM14" s="9">
        <v>0</v>
      </c>
      <c r="AO14" s="2" t="s">
        <v>33</v>
      </c>
    </row>
    <row r="15" spans="1:41">
      <c r="A15" s="1" t="s">
        <v>34</v>
      </c>
      <c r="C15" s="7">
        <f t="shared" si="0"/>
        <v>0</v>
      </c>
      <c r="D15" s="8"/>
      <c r="E15" s="9">
        <v>0</v>
      </c>
      <c r="F15" s="9"/>
      <c r="G15" s="9">
        <v>0</v>
      </c>
      <c r="H15" s="9"/>
      <c r="I15" s="9">
        <v>0</v>
      </c>
      <c r="J15" s="9"/>
      <c r="K15" s="9">
        <v>0</v>
      </c>
      <c r="L15" s="9"/>
      <c r="M15" s="9">
        <v>0</v>
      </c>
      <c r="N15" s="9"/>
      <c r="O15" s="9">
        <v>0</v>
      </c>
      <c r="P15" s="9"/>
      <c r="Q15" s="9">
        <v>0</v>
      </c>
      <c r="R15" s="7"/>
      <c r="S15" s="9">
        <v>0</v>
      </c>
      <c r="T15" s="9"/>
      <c r="U15" s="9">
        <v>0</v>
      </c>
      <c r="V15" s="10"/>
      <c r="W15" s="9">
        <v>0</v>
      </c>
      <c r="Y15" s="9">
        <v>0</v>
      </c>
      <c r="AA15" s="9">
        <v>0</v>
      </c>
      <c r="AC15" s="9">
        <v>0</v>
      </c>
      <c r="AE15" s="9">
        <v>0</v>
      </c>
      <c r="AF15" s="7"/>
      <c r="AG15" s="9">
        <v>0</v>
      </c>
      <c r="AH15" s="7"/>
      <c r="AI15" s="9">
        <v>0</v>
      </c>
      <c r="AJ15" s="7"/>
      <c r="AK15" s="9">
        <v>0</v>
      </c>
      <c r="AL15" s="7"/>
      <c r="AM15" s="9">
        <v>0</v>
      </c>
      <c r="AO15" s="2" t="s">
        <v>35</v>
      </c>
    </row>
    <row r="16" spans="1:41">
      <c r="A16" s="1" t="s">
        <v>36</v>
      </c>
      <c r="C16" s="7">
        <f t="shared" si="0"/>
        <v>0</v>
      </c>
      <c r="D16" s="8"/>
      <c r="E16" s="9">
        <v>0</v>
      </c>
      <c r="F16" s="9"/>
      <c r="G16" s="9">
        <v>0</v>
      </c>
      <c r="H16" s="9"/>
      <c r="I16" s="9">
        <v>0</v>
      </c>
      <c r="J16" s="9"/>
      <c r="K16" s="9">
        <v>0</v>
      </c>
      <c r="L16" s="9"/>
      <c r="M16" s="9">
        <v>0</v>
      </c>
      <c r="N16" s="9"/>
      <c r="O16" s="9">
        <v>0</v>
      </c>
      <c r="P16" s="9"/>
      <c r="Q16" s="9">
        <v>0</v>
      </c>
      <c r="R16" s="7"/>
      <c r="S16" s="9">
        <v>0</v>
      </c>
      <c r="T16" s="9"/>
      <c r="U16" s="9">
        <v>0</v>
      </c>
      <c r="V16" s="10"/>
      <c r="W16" s="9">
        <v>0</v>
      </c>
      <c r="Y16" s="9">
        <v>0</v>
      </c>
      <c r="AA16" s="9">
        <v>0</v>
      </c>
      <c r="AC16" s="9">
        <v>0</v>
      </c>
      <c r="AE16" s="9">
        <v>0</v>
      </c>
      <c r="AF16" s="7"/>
      <c r="AG16" s="9">
        <v>0</v>
      </c>
      <c r="AH16" s="7"/>
      <c r="AI16" s="9">
        <v>0</v>
      </c>
      <c r="AJ16" s="7"/>
      <c r="AK16" s="9">
        <v>0</v>
      </c>
      <c r="AL16" s="7"/>
      <c r="AM16" s="9">
        <v>0</v>
      </c>
      <c r="AO16" s="2" t="s">
        <v>37</v>
      </c>
    </row>
    <row r="17" spans="1:41">
      <c r="A17" s="1" t="s">
        <v>38</v>
      </c>
      <c r="C17" s="7">
        <f t="shared" si="0"/>
        <v>0</v>
      </c>
      <c r="D17" s="8"/>
      <c r="E17" s="9">
        <v>0</v>
      </c>
      <c r="F17" s="9"/>
      <c r="G17" s="9">
        <v>0</v>
      </c>
      <c r="H17" s="9"/>
      <c r="I17" s="9">
        <v>0</v>
      </c>
      <c r="J17" s="9"/>
      <c r="K17" s="9">
        <v>0</v>
      </c>
      <c r="L17" s="9"/>
      <c r="M17" s="9">
        <v>0</v>
      </c>
      <c r="N17" s="9"/>
      <c r="O17" s="9">
        <v>0</v>
      </c>
      <c r="P17" s="9"/>
      <c r="Q17" s="9">
        <v>0</v>
      </c>
      <c r="R17" s="7"/>
      <c r="S17" s="9">
        <v>0</v>
      </c>
      <c r="T17" s="9"/>
      <c r="U17" s="9">
        <v>0</v>
      </c>
      <c r="V17" s="10"/>
      <c r="W17" s="9">
        <v>0</v>
      </c>
      <c r="Y17" s="9">
        <v>0</v>
      </c>
      <c r="AA17" s="9">
        <v>0</v>
      </c>
      <c r="AC17" s="9">
        <v>0</v>
      </c>
      <c r="AE17" s="9">
        <v>0</v>
      </c>
      <c r="AF17" s="7"/>
      <c r="AG17" s="9">
        <v>0</v>
      </c>
      <c r="AH17" s="7"/>
      <c r="AI17" s="9">
        <v>0</v>
      </c>
      <c r="AJ17" s="7"/>
      <c r="AK17" s="9">
        <v>0</v>
      </c>
      <c r="AL17" s="7"/>
      <c r="AM17" s="9">
        <v>0</v>
      </c>
      <c r="AO17" s="2" t="s">
        <v>39</v>
      </c>
    </row>
    <row r="18" spans="1:41">
      <c r="A18" s="1" t="s">
        <v>40</v>
      </c>
      <c r="C18" s="7">
        <f t="shared" si="0"/>
        <v>0</v>
      </c>
      <c r="D18" s="8"/>
      <c r="E18" s="9">
        <v>0</v>
      </c>
      <c r="F18" s="9"/>
      <c r="G18" s="9">
        <v>0</v>
      </c>
      <c r="H18" s="9"/>
      <c r="I18" s="9">
        <v>0</v>
      </c>
      <c r="J18" s="9"/>
      <c r="K18" s="9">
        <v>0</v>
      </c>
      <c r="L18" s="9"/>
      <c r="M18" s="9">
        <v>0</v>
      </c>
      <c r="N18" s="9"/>
      <c r="O18" s="9">
        <v>0</v>
      </c>
      <c r="P18" s="9"/>
      <c r="Q18" s="9">
        <v>0</v>
      </c>
      <c r="R18" s="7"/>
      <c r="S18" s="9">
        <v>0</v>
      </c>
      <c r="T18" s="9"/>
      <c r="U18" s="9">
        <v>0</v>
      </c>
      <c r="V18" s="10"/>
      <c r="W18" s="9">
        <v>0</v>
      </c>
      <c r="Y18" s="9">
        <v>0</v>
      </c>
      <c r="AA18" s="9">
        <v>0</v>
      </c>
      <c r="AC18" s="9">
        <v>0</v>
      </c>
      <c r="AE18" s="9">
        <v>0</v>
      </c>
      <c r="AF18" s="7"/>
      <c r="AG18" s="9">
        <v>0</v>
      </c>
      <c r="AH18" s="7"/>
      <c r="AI18" s="9">
        <v>0</v>
      </c>
      <c r="AJ18" s="7"/>
      <c r="AK18" s="9">
        <v>0</v>
      </c>
      <c r="AL18" s="7"/>
      <c r="AM18" s="9">
        <v>0</v>
      </c>
      <c r="AO18" s="2" t="s">
        <v>41</v>
      </c>
    </row>
    <row r="19" spans="1:41">
      <c r="A19" s="1" t="s">
        <v>42</v>
      </c>
      <c r="C19" s="7">
        <f t="shared" si="0"/>
        <v>0</v>
      </c>
      <c r="D19" s="8"/>
      <c r="E19" s="9">
        <v>0</v>
      </c>
      <c r="F19" s="9"/>
      <c r="G19" s="9">
        <v>0</v>
      </c>
      <c r="H19" s="9"/>
      <c r="I19" s="9">
        <v>0</v>
      </c>
      <c r="J19" s="9"/>
      <c r="K19" s="9">
        <v>0</v>
      </c>
      <c r="L19" s="9"/>
      <c r="M19" s="9">
        <v>0</v>
      </c>
      <c r="N19" s="9"/>
      <c r="O19" s="9">
        <v>0</v>
      </c>
      <c r="P19" s="9"/>
      <c r="Q19" s="9">
        <v>0</v>
      </c>
      <c r="R19" s="7"/>
      <c r="S19" s="9">
        <v>0</v>
      </c>
      <c r="T19" s="9"/>
      <c r="U19" s="9">
        <v>0</v>
      </c>
      <c r="V19" s="10"/>
      <c r="W19" s="9">
        <v>0</v>
      </c>
      <c r="Y19" s="9">
        <v>0</v>
      </c>
      <c r="AA19" s="9">
        <v>0</v>
      </c>
      <c r="AC19" s="9">
        <v>0</v>
      </c>
      <c r="AE19" s="9">
        <v>0</v>
      </c>
      <c r="AF19" s="7"/>
      <c r="AG19" s="9">
        <v>0</v>
      </c>
      <c r="AH19" s="7"/>
      <c r="AI19" s="9">
        <v>0</v>
      </c>
      <c r="AJ19" s="7"/>
      <c r="AK19" s="9">
        <v>0</v>
      </c>
      <c r="AL19" s="7"/>
      <c r="AM19" s="9">
        <v>0</v>
      </c>
      <c r="AO19" s="2" t="s">
        <v>43</v>
      </c>
    </row>
    <row r="20" spans="1:41">
      <c r="A20" s="1" t="s">
        <v>44</v>
      </c>
      <c r="C20" s="7">
        <f t="shared" si="0"/>
        <v>0</v>
      </c>
      <c r="D20" s="8"/>
      <c r="E20" s="9">
        <v>0</v>
      </c>
      <c r="F20" s="9"/>
      <c r="G20" s="9">
        <v>0</v>
      </c>
      <c r="H20" s="9"/>
      <c r="I20" s="9">
        <v>0</v>
      </c>
      <c r="J20" s="9"/>
      <c r="K20" s="9">
        <v>0</v>
      </c>
      <c r="L20" s="9"/>
      <c r="M20" s="9">
        <v>0</v>
      </c>
      <c r="N20" s="9"/>
      <c r="O20" s="9">
        <v>0</v>
      </c>
      <c r="P20" s="9"/>
      <c r="Q20" s="9">
        <v>0</v>
      </c>
      <c r="R20" s="7"/>
      <c r="S20" s="9">
        <v>0</v>
      </c>
      <c r="T20" s="9"/>
      <c r="U20" s="9">
        <v>0</v>
      </c>
      <c r="V20" s="10"/>
      <c r="W20" s="9">
        <v>0</v>
      </c>
      <c r="Y20" s="9">
        <v>0</v>
      </c>
      <c r="AA20" s="9">
        <v>0</v>
      </c>
      <c r="AC20" s="9">
        <v>0</v>
      </c>
      <c r="AE20" s="9">
        <v>0</v>
      </c>
      <c r="AF20" s="7"/>
      <c r="AG20" s="9">
        <v>0</v>
      </c>
      <c r="AH20" s="7"/>
      <c r="AI20" s="9">
        <v>0</v>
      </c>
      <c r="AJ20" s="7"/>
      <c r="AK20" s="9">
        <v>0</v>
      </c>
      <c r="AL20" s="7"/>
      <c r="AM20" s="9">
        <v>0</v>
      </c>
      <c r="AO20" s="2" t="s">
        <v>45</v>
      </c>
    </row>
    <row r="21" spans="1:41">
      <c r="A21" s="1" t="s">
        <v>46</v>
      </c>
      <c r="C21" s="7">
        <f t="shared" si="0"/>
        <v>0</v>
      </c>
      <c r="D21" s="8"/>
      <c r="E21" s="9">
        <v>0</v>
      </c>
      <c r="F21" s="9"/>
      <c r="G21" s="9">
        <v>0</v>
      </c>
      <c r="H21" s="9"/>
      <c r="I21" s="9">
        <v>0</v>
      </c>
      <c r="J21" s="9"/>
      <c r="K21" s="9">
        <v>0</v>
      </c>
      <c r="L21" s="9"/>
      <c r="M21" s="9">
        <v>0</v>
      </c>
      <c r="N21" s="9"/>
      <c r="O21" s="9">
        <v>0</v>
      </c>
      <c r="P21" s="9"/>
      <c r="Q21" s="9">
        <v>0</v>
      </c>
      <c r="R21" s="7"/>
      <c r="S21" s="9">
        <v>0</v>
      </c>
      <c r="T21" s="9"/>
      <c r="U21" s="9">
        <v>0</v>
      </c>
      <c r="V21" s="10"/>
      <c r="W21" s="9">
        <v>0</v>
      </c>
      <c r="Y21" s="9">
        <v>0</v>
      </c>
      <c r="AA21" s="9">
        <v>0</v>
      </c>
      <c r="AC21" s="9">
        <v>0</v>
      </c>
      <c r="AE21" s="9">
        <v>0</v>
      </c>
      <c r="AF21" s="7"/>
      <c r="AG21" s="9">
        <v>0</v>
      </c>
      <c r="AH21" s="7"/>
      <c r="AI21" s="9">
        <v>0</v>
      </c>
      <c r="AJ21" s="7"/>
      <c r="AK21" s="9">
        <v>0</v>
      </c>
      <c r="AL21" s="7"/>
      <c r="AM21" s="9">
        <v>0</v>
      </c>
      <c r="AO21" s="2" t="s">
        <v>47</v>
      </c>
    </row>
    <row r="22" spans="1:41">
      <c r="A22" s="1" t="s">
        <v>48</v>
      </c>
      <c r="C22" s="7">
        <f t="shared" si="0"/>
        <v>0</v>
      </c>
      <c r="D22" s="8"/>
      <c r="E22" s="9">
        <v>0</v>
      </c>
      <c r="F22" s="9"/>
      <c r="G22" s="9">
        <v>0</v>
      </c>
      <c r="H22" s="9"/>
      <c r="I22" s="9">
        <v>0</v>
      </c>
      <c r="J22" s="9"/>
      <c r="K22" s="9">
        <v>0</v>
      </c>
      <c r="L22" s="9"/>
      <c r="M22" s="9">
        <v>0</v>
      </c>
      <c r="N22" s="9"/>
      <c r="O22" s="9">
        <v>0</v>
      </c>
      <c r="P22" s="9"/>
      <c r="Q22" s="9">
        <v>0</v>
      </c>
      <c r="R22" s="7"/>
      <c r="S22" s="9">
        <v>0</v>
      </c>
      <c r="T22" s="9"/>
      <c r="U22" s="9">
        <v>0</v>
      </c>
      <c r="V22" s="10"/>
      <c r="W22" s="9">
        <v>0</v>
      </c>
      <c r="Y22" s="9">
        <v>0</v>
      </c>
      <c r="AA22" s="9">
        <v>0</v>
      </c>
      <c r="AC22" s="9">
        <v>0</v>
      </c>
      <c r="AE22" s="9">
        <v>0</v>
      </c>
      <c r="AF22" s="7"/>
      <c r="AG22" s="9">
        <v>0</v>
      </c>
      <c r="AH22" s="7"/>
      <c r="AI22" s="9">
        <v>0</v>
      </c>
      <c r="AJ22" s="7"/>
      <c r="AK22" s="9">
        <v>0</v>
      </c>
      <c r="AL22" s="7"/>
      <c r="AM22" s="9">
        <v>0</v>
      </c>
      <c r="AO22" s="2" t="s">
        <v>49</v>
      </c>
    </row>
    <row r="23" spans="1:41">
      <c r="A23" s="1" t="s">
        <v>50</v>
      </c>
      <c r="C23" s="7">
        <f t="shared" si="0"/>
        <v>0</v>
      </c>
      <c r="D23" s="8"/>
      <c r="E23" s="9">
        <v>0</v>
      </c>
      <c r="F23" s="9"/>
      <c r="G23" s="9">
        <v>0</v>
      </c>
      <c r="H23" s="9"/>
      <c r="I23" s="9">
        <v>0</v>
      </c>
      <c r="J23" s="9"/>
      <c r="K23" s="9">
        <v>0</v>
      </c>
      <c r="L23" s="9"/>
      <c r="M23" s="9">
        <v>0</v>
      </c>
      <c r="N23" s="9"/>
      <c r="O23" s="9">
        <v>0</v>
      </c>
      <c r="P23" s="9"/>
      <c r="Q23" s="9">
        <v>0</v>
      </c>
      <c r="R23" s="7"/>
      <c r="S23" s="9">
        <v>0</v>
      </c>
      <c r="T23" s="9"/>
      <c r="U23" s="9">
        <v>0</v>
      </c>
      <c r="V23" s="10"/>
      <c r="W23" s="9">
        <v>0</v>
      </c>
      <c r="Y23" s="9">
        <v>0</v>
      </c>
      <c r="AA23" s="9">
        <v>0</v>
      </c>
      <c r="AC23" s="9">
        <v>0</v>
      </c>
      <c r="AE23" s="9">
        <v>0</v>
      </c>
      <c r="AF23" s="7"/>
      <c r="AG23" s="9">
        <v>0</v>
      </c>
      <c r="AH23" s="7"/>
      <c r="AI23" s="9">
        <v>0</v>
      </c>
      <c r="AJ23" s="7"/>
      <c r="AK23" s="9">
        <v>0</v>
      </c>
      <c r="AL23" s="7"/>
      <c r="AM23" s="9">
        <v>0</v>
      </c>
      <c r="AO23" s="2" t="s">
        <v>51</v>
      </c>
    </row>
    <row r="24" spans="1:41">
      <c r="A24" s="1" t="s">
        <v>52</v>
      </c>
      <c r="C24" s="7">
        <f t="shared" si="0"/>
        <v>0</v>
      </c>
      <c r="D24" s="8"/>
      <c r="E24" s="9">
        <v>0</v>
      </c>
      <c r="F24" s="9"/>
      <c r="G24" s="9">
        <v>0</v>
      </c>
      <c r="H24" s="9"/>
      <c r="I24" s="9">
        <v>0</v>
      </c>
      <c r="J24" s="9"/>
      <c r="K24" s="9">
        <v>0</v>
      </c>
      <c r="L24" s="9"/>
      <c r="M24" s="9">
        <v>0</v>
      </c>
      <c r="N24" s="9"/>
      <c r="O24" s="9">
        <v>0</v>
      </c>
      <c r="P24" s="9"/>
      <c r="Q24" s="9">
        <v>0</v>
      </c>
      <c r="R24" s="7"/>
      <c r="S24" s="9">
        <v>0</v>
      </c>
      <c r="T24" s="9"/>
      <c r="U24" s="9">
        <v>0</v>
      </c>
      <c r="V24" s="10"/>
      <c r="W24" s="9">
        <v>0</v>
      </c>
      <c r="Y24" s="9">
        <v>0</v>
      </c>
      <c r="AA24" s="9">
        <v>0</v>
      </c>
      <c r="AC24" s="9">
        <v>0</v>
      </c>
      <c r="AE24" s="9">
        <v>0</v>
      </c>
      <c r="AF24" s="7"/>
      <c r="AG24" s="9">
        <v>0</v>
      </c>
      <c r="AH24" s="7"/>
      <c r="AI24" s="9">
        <v>0</v>
      </c>
      <c r="AJ24" s="7"/>
      <c r="AK24" s="9">
        <v>0</v>
      </c>
      <c r="AL24" s="7"/>
      <c r="AM24" s="9">
        <v>0</v>
      </c>
      <c r="AO24" s="2" t="s">
        <v>53</v>
      </c>
    </row>
    <row r="25" spans="1:41">
      <c r="A25" s="1" t="s">
        <v>54</v>
      </c>
      <c r="C25" s="7">
        <f t="shared" si="0"/>
        <v>0</v>
      </c>
      <c r="D25" s="8"/>
      <c r="E25" s="9">
        <v>0</v>
      </c>
      <c r="F25" s="9"/>
      <c r="G25" s="9">
        <v>0</v>
      </c>
      <c r="H25" s="9"/>
      <c r="I25" s="9">
        <v>0</v>
      </c>
      <c r="J25" s="9"/>
      <c r="K25" s="9">
        <v>0</v>
      </c>
      <c r="L25" s="9"/>
      <c r="M25" s="9">
        <v>0</v>
      </c>
      <c r="N25" s="9"/>
      <c r="O25" s="9">
        <v>0</v>
      </c>
      <c r="P25" s="9"/>
      <c r="Q25" s="9">
        <v>0</v>
      </c>
      <c r="R25" s="7"/>
      <c r="S25" s="9">
        <v>0</v>
      </c>
      <c r="T25" s="9"/>
      <c r="U25" s="9">
        <v>0</v>
      </c>
      <c r="V25" s="10"/>
      <c r="W25" s="9">
        <v>0</v>
      </c>
      <c r="Y25" s="9">
        <v>0</v>
      </c>
      <c r="AA25" s="9">
        <v>0</v>
      </c>
      <c r="AC25" s="9">
        <v>0</v>
      </c>
      <c r="AE25" s="9">
        <v>0</v>
      </c>
      <c r="AF25" s="7"/>
      <c r="AG25" s="9">
        <v>0</v>
      </c>
      <c r="AH25" s="7"/>
      <c r="AI25" s="9">
        <v>0</v>
      </c>
      <c r="AJ25" s="7"/>
      <c r="AK25" s="9">
        <v>0</v>
      </c>
      <c r="AL25" s="7"/>
      <c r="AM25" s="9">
        <v>0</v>
      </c>
      <c r="AO25" s="2" t="s">
        <v>55</v>
      </c>
    </row>
    <row r="26" spans="1:41">
      <c r="A26" s="1" t="s">
        <v>12</v>
      </c>
      <c r="C26" s="7">
        <f t="shared" si="0"/>
        <v>0</v>
      </c>
      <c r="D26" s="8"/>
      <c r="E26" s="9">
        <v>0</v>
      </c>
      <c r="F26" s="9"/>
      <c r="G26" s="9">
        <v>0</v>
      </c>
      <c r="H26" s="9"/>
      <c r="I26" s="9">
        <v>0</v>
      </c>
      <c r="J26" s="9"/>
      <c r="K26" s="9">
        <v>0</v>
      </c>
      <c r="L26" s="9"/>
      <c r="M26" s="9">
        <v>0</v>
      </c>
      <c r="N26" s="9"/>
      <c r="O26" s="9">
        <v>0</v>
      </c>
      <c r="P26" s="9"/>
      <c r="Q26" s="9">
        <v>0</v>
      </c>
      <c r="R26" s="7"/>
      <c r="S26" s="9">
        <v>0</v>
      </c>
      <c r="T26" s="9"/>
      <c r="U26" s="9">
        <v>0</v>
      </c>
      <c r="V26" s="10"/>
      <c r="W26" s="9">
        <v>0</v>
      </c>
      <c r="Y26" s="9">
        <v>0</v>
      </c>
      <c r="AA26" s="9">
        <v>0</v>
      </c>
      <c r="AC26" s="9">
        <v>0</v>
      </c>
      <c r="AE26" s="9">
        <v>0</v>
      </c>
      <c r="AF26" s="9"/>
      <c r="AG26" s="9">
        <v>0</v>
      </c>
      <c r="AH26" s="9"/>
      <c r="AI26" s="9">
        <v>0</v>
      </c>
      <c r="AJ26" s="7"/>
      <c r="AK26" s="9">
        <v>0</v>
      </c>
      <c r="AL26" s="7"/>
      <c r="AM26" s="9">
        <v>0</v>
      </c>
      <c r="AO26" s="2" t="s">
        <v>56</v>
      </c>
    </row>
    <row r="27" spans="1:41">
      <c r="A27" s="1" t="s">
        <v>57</v>
      </c>
      <c r="C27" s="7">
        <f t="shared" si="0"/>
        <v>0</v>
      </c>
      <c r="D27" s="8"/>
      <c r="E27" s="9">
        <v>0</v>
      </c>
      <c r="F27" s="10"/>
      <c r="G27" s="9">
        <v>0</v>
      </c>
      <c r="H27" s="10"/>
      <c r="I27" s="9">
        <v>0</v>
      </c>
      <c r="J27" s="10"/>
      <c r="K27" s="9">
        <v>0</v>
      </c>
      <c r="L27" s="10"/>
      <c r="M27" s="9">
        <v>0</v>
      </c>
      <c r="N27" s="10"/>
      <c r="O27" s="9">
        <v>0</v>
      </c>
      <c r="P27" s="10"/>
      <c r="Q27" s="9">
        <v>0</v>
      </c>
      <c r="S27" s="9">
        <v>0</v>
      </c>
      <c r="T27" s="10"/>
      <c r="U27" s="9">
        <v>0</v>
      </c>
      <c r="V27" s="10"/>
      <c r="W27" s="9">
        <v>0</v>
      </c>
      <c r="Y27" s="9">
        <v>0</v>
      </c>
      <c r="AA27" s="9">
        <v>0</v>
      </c>
      <c r="AC27" s="9">
        <v>0</v>
      </c>
      <c r="AE27" s="9">
        <v>0</v>
      </c>
      <c r="AG27" s="9">
        <v>0</v>
      </c>
      <c r="AI27" s="9">
        <v>0</v>
      </c>
      <c r="AK27" s="9">
        <v>0</v>
      </c>
      <c r="AM27" s="9">
        <v>0</v>
      </c>
      <c r="AO27" s="2" t="s">
        <v>58</v>
      </c>
    </row>
    <row r="28" spans="1:41">
      <c r="A28" s="1" t="s">
        <v>59</v>
      </c>
      <c r="C28" s="7">
        <f t="shared" si="0"/>
        <v>0</v>
      </c>
      <c r="D28" s="8"/>
      <c r="E28" s="9">
        <v>0</v>
      </c>
      <c r="F28" s="9"/>
      <c r="G28" s="9">
        <v>0</v>
      </c>
      <c r="H28" s="9"/>
      <c r="I28" s="9">
        <v>0</v>
      </c>
      <c r="J28" s="9"/>
      <c r="K28" s="9">
        <v>0</v>
      </c>
      <c r="L28" s="9"/>
      <c r="M28" s="9">
        <v>0</v>
      </c>
      <c r="N28" s="9"/>
      <c r="O28" s="9">
        <v>0</v>
      </c>
      <c r="P28" s="9"/>
      <c r="Q28" s="9">
        <v>0</v>
      </c>
      <c r="R28" s="7"/>
      <c r="S28" s="9">
        <v>0</v>
      </c>
      <c r="T28" s="9"/>
      <c r="U28" s="9">
        <v>0</v>
      </c>
      <c r="V28" s="10"/>
      <c r="W28" s="9">
        <v>0</v>
      </c>
      <c r="Y28" s="9">
        <v>0</v>
      </c>
      <c r="AA28" s="9">
        <v>0</v>
      </c>
      <c r="AC28" s="9">
        <v>0</v>
      </c>
      <c r="AE28" s="9">
        <v>0</v>
      </c>
      <c r="AF28" s="7"/>
      <c r="AG28" s="9">
        <v>0</v>
      </c>
      <c r="AH28" s="7"/>
      <c r="AI28" s="9">
        <v>0</v>
      </c>
      <c r="AJ28" s="7"/>
      <c r="AK28" s="9">
        <v>0</v>
      </c>
      <c r="AL28" s="7"/>
      <c r="AM28" s="9">
        <v>0</v>
      </c>
      <c r="AO28" s="2" t="s">
        <v>60</v>
      </c>
    </row>
    <row r="29" spans="1:41">
      <c r="A29" s="1" t="s">
        <v>61</v>
      </c>
      <c r="C29" s="7">
        <f t="shared" si="0"/>
        <v>0</v>
      </c>
      <c r="D29" s="8"/>
      <c r="E29" s="9">
        <v>0</v>
      </c>
      <c r="F29" s="9"/>
      <c r="G29" s="9">
        <v>0</v>
      </c>
      <c r="H29" s="9"/>
      <c r="I29" s="9">
        <v>0</v>
      </c>
      <c r="J29" s="9"/>
      <c r="K29" s="9">
        <v>0</v>
      </c>
      <c r="L29" s="9"/>
      <c r="M29" s="9">
        <v>0</v>
      </c>
      <c r="N29" s="9"/>
      <c r="O29" s="9">
        <v>0</v>
      </c>
      <c r="P29" s="9"/>
      <c r="Q29" s="9">
        <v>0</v>
      </c>
      <c r="R29" s="7"/>
      <c r="S29" s="9">
        <v>0</v>
      </c>
      <c r="T29" s="9"/>
      <c r="U29" s="9">
        <v>0</v>
      </c>
      <c r="V29" s="10"/>
      <c r="W29" s="9">
        <v>0</v>
      </c>
      <c r="Y29" s="9">
        <v>0</v>
      </c>
      <c r="AA29" s="9">
        <v>0</v>
      </c>
      <c r="AC29" s="9">
        <v>0</v>
      </c>
      <c r="AE29" s="9">
        <v>0</v>
      </c>
      <c r="AF29" s="7"/>
      <c r="AG29" s="9">
        <v>0</v>
      </c>
      <c r="AH29" s="7"/>
      <c r="AI29" s="9">
        <v>0</v>
      </c>
      <c r="AJ29" s="7"/>
      <c r="AK29" s="9">
        <v>0</v>
      </c>
      <c r="AL29" s="7"/>
      <c r="AM29" s="9">
        <v>0</v>
      </c>
      <c r="AO29" s="2" t="s">
        <v>62</v>
      </c>
    </row>
    <row r="30" spans="1:41">
      <c r="A30" s="1" t="s">
        <v>63</v>
      </c>
      <c r="C30" s="7">
        <f t="shared" si="0"/>
        <v>0</v>
      </c>
      <c r="D30" s="8"/>
      <c r="E30" s="9">
        <v>0</v>
      </c>
      <c r="F30" s="9"/>
      <c r="G30" s="9">
        <v>0</v>
      </c>
      <c r="H30" s="9"/>
      <c r="I30" s="9">
        <v>0</v>
      </c>
      <c r="J30" s="9"/>
      <c r="K30" s="9">
        <v>0</v>
      </c>
      <c r="L30" s="9"/>
      <c r="M30" s="9">
        <v>0</v>
      </c>
      <c r="N30" s="9"/>
      <c r="O30" s="9">
        <v>0</v>
      </c>
      <c r="P30" s="9"/>
      <c r="Q30" s="9">
        <v>0</v>
      </c>
      <c r="R30" s="7"/>
      <c r="S30" s="9">
        <v>0</v>
      </c>
      <c r="T30" s="9"/>
      <c r="U30" s="9">
        <v>0</v>
      </c>
      <c r="V30" s="10"/>
      <c r="W30" s="9">
        <v>0</v>
      </c>
      <c r="Y30" s="9">
        <v>0</v>
      </c>
      <c r="AA30" s="9">
        <v>0</v>
      </c>
      <c r="AC30" s="9">
        <v>0</v>
      </c>
      <c r="AE30" s="9">
        <v>0</v>
      </c>
      <c r="AF30" s="7"/>
      <c r="AG30" s="9">
        <v>0</v>
      </c>
      <c r="AH30" s="7"/>
      <c r="AI30" s="9">
        <v>0</v>
      </c>
      <c r="AJ30" s="7"/>
      <c r="AK30" s="9">
        <v>0</v>
      </c>
      <c r="AL30" s="7"/>
      <c r="AM30" s="9">
        <v>0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5" thickBot="1">
      <c r="A32" s="1" t="s">
        <v>6</v>
      </c>
      <c r="C32" s="15">
        <f>SUM(C9:C31)</f>
        <v>0</v>
      </c>
      <c r="D32" s="4"/>
      <c r="E32" s="15">
        <f>SUM(E9:E31)</f>
        <v>0</v>
      </c>
      <c r="F32" s="4"/>
      <c r="G32" s="15">
        <f>SUM(G9:G31)</f>
        <v>0</v>
      </c>
      <c r="H32" s="4"/>
      <c r="I32" s="15">
        <f>SUM(I9:I31)</f>
        <v>0</v>
      </c>
      <c r="J32" s="4"/>
      <c r="K32" s="15">
        <f>SUM(K9:K31)</f>
        <v>0</v>
      </c>
      <c r="L32" s="4"/>
      <c r="M32" s="15">
        <f>SUM(M9:M31)</f>
        <v>0</v>
      </c>
      <c r="N32" s="4"/>
      <c r="O32" s="15">
        <f>SUM(O9:O31)</f>
        <v>0</v>
      </c>
      <c r="P32" s="4"/>
      <c r="Q32" s="15">
        <f>SUM(Q9:Q31)</f>
        <v>0</v>
      </c>
      <c r="R32" s="4"/>
      <c r="S32" s="15">
        <f>SUM(S9:S31)</f>
        <v>0</v>
      </c>
      <c r="T32" s="4"/>
      <c r="U32" s="15">
        <f>SUM(U9:U31)</f>
        <v>0</v>
      </c>
      <c r="W32" s="15">
        <f>SUM(W9:W31)</f>
        <v>0</v>
      </c>
      <c r="Y32" s="15">
        <f>SUM(Y9:Y31)</f>
        <v>0</v>
      </c>
      <c r="AA32" s="15">
        <f>SUM(AA9:AA31)</f>
        <v>0</v>
      </c>
      <c r="AC32" s="15">
        <f>SUM(AC9:AC31)</f>
        <v>0</v>
      </c>
      <c r="AE32" s="15">
        <f>SUM(AE9:AE31)</f>
        <v>0</v>
      </c>
      <c r="AF32" s="4"/>
      <c r="AG32" s="15">
        <f>SUM(AG9:AG31)</f>
        <v>0</v>
      </c>
      <c r="AH32" s="4"/>
      <c r="AI32" s="15">
        <f>SUM(AI9:AI31)</f>
        <v>0</v>
      </c>
      <c r="AJ32" s="4"/>
      <c r="AK32" s="15">
        <f>SUM(AK9:AK31)</f>
        <v>0</v>
      </c>
      <c r="AL32" s="4"/>
      <c r="AM32" s="15">
        <f>SUM(AM9:AM31)</f>
        <v>0</v>
      </c>
    </row>
    <row r="33" spans="1:39" ht="8.1" customHeight="1" thickTop="1">
      <c r="D33" s="3"/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v>0</v>
      </c>
      <c r="F39" s="7"/>
      <c r="G39" s="7">
        <v>0</v>
      </c>
      <c r="H39" s="7"/>
      <c r="I39" s="7">
        <v>0</v>
      </c>
      <c r="J39" s="7"/>
      <c r="K39" s="7">
        <v>0</v>
      </c>
      <c r="L39" s="7"/>
      <c r="M39" s="7">
        <v>0</v>
      </c>
      <c r="N39" s="7"/>
      <c r="O39" s="7">
        <v>0</v>
      </c>
      <c r="P39" s="7"/>
      <c r="Q39" s="7">
        <v>0</v>
      </c>
      <c r="R39" s="7"/>
      <c r="S39" s="7">
        <v>0</v>
      </c>
      <c r="T39" s="7"/>
      <c r="U39" s="7">
        <v>0</v>
      </c>
      <c r="W39" s="7">
        <v>0</v>
      </c>
      <c r="Y39" s="7">
        <v>0</v>
      </c>
      <c r="AA39" s="7">
        <v>0</v>
      </c>
      <c r="AC39" s="7">
        <v>0</v>
      </c>
      <c r="AE39" s="7">
        <v>0</v>
      </c>
      <c r="AF39" s="7"/>
      <c r="AG39" s="7">
        <v>0</v>
      </c>
      <c r="AH39" s="7"/>
      <c r="AI39" s="7">
        <v>0</v>
      </c>
      <c r="AJ39" s="7"/>
      <c r="AK39" s="7">
        <v>0</v>
      </c>
      <c r="AL39" s="7"/>
      <c r="AM39" s="7">
        <v>0</v>
      </c>
    </row>
    <row r="40" spans="1:39">
      <c r="A40" s="17" t="s">
        <v>67</v>
      </c>
      <c r="B40" s="17"/>
      <c r="C40" s="7">
        <f t="shared" si="1"/>
        <v>0</v>
      </c>
      <c r="E40" s="7">
        <v>0</v>
      </c>
      <c r="F40" s="7"/>
      <c r="G40" s="7">
        <v>0</v>
      </c>
      <c r="H40" s="7"/>
      <c r="I40" s="7">
        <v>0</v>
      </c>
      <c r="J40" s="7"/>
      <c r="K40" s="7">
        <v>0</v>
      </c>
      <c r="L40" s="7"/>
      <c r="M40" s="7">
        <v>0</v>
      </c>
      <c r="N40" s="7"/>
      <c r="O40" s="7">
        <v>0</v>
      </c>
      <c r="P40" s="7"/>
      <c r="Q40" s="7">
        <v>0</v>
      </c>
      <c r="R40" s="7"/>
      <c r="S40" s="7">
        <v>0</v>
      </c>
      <c r="T40" s="7"/>
      <c r="U40" s="7">
        <v>0</v>
      </c>
      <c r="W40" s="7">
        <v>0</v>
      </c>
      <c r="Y40" s="7">
        <v>0</v>
      </c>
      <c r="AA40" s="7">
        <v>0</v>
      </c>
      <c r="AC40" s="7">
        <v>0</v>
      </c>
      <c r="AE40" s="7">
        <v>0</v>
      </c>
      <c r="AF40" s="7"/>
      <c r="AG40" s="7">
        <v>0</v>
      </c>
      <c r="AH40" s="7"/>
      <c r="AI40" s="7">
        <v>0</v>
      </c>
      <c r="AJ40" s="7"/>
      <c r="AK40" s="7">
        <v>0</v>
      </c>
      <c r="AL40" s="7"/>
      <c r="AM40" s="7">
        <v>0</v>
      </c>
    </row>
    <row r="41" spans="1:39">
      <c r="A41" s="17" t="s">
        <v>68</v>
      </c>
      <c r="B41" s="17"/>
      <c r="C41" s="7">
        <f t="shared" si="1"/>
        <v>0</v>
      </c>
      <c r="E41" s="7">
        <v>0</v>
      </c>
      <c r="F41" s="7"/>
      <c r="G41" s="7">
        <v>0</v>
      </c>
      <c r="H41" s="7"/>
      <c r="I41" s="7">
        <v>0</v>
      </c>
      <c r="J41" s="7"/>
      <c r="K41" s="7">
        <v>0</v>
      </c>
      <c r="L41" s="7"/>
      <c r="M41" s="7">
        <v>0</v>
      </c>
      <c r="N41" s="7"/>
      <c r="O41" s="7">
        <v>0</v>
      </c>
      <c r="P41" s="7"/>
      <c r="Q41" s="7">
        <v>0</v>
      </c>
      <c r="R41" s="7"/>
      <c r="S41" s="7">
        <v>0</v>
      </c>
      <c r="T41" s="7"/>
      <c r="U41" s="7">
        <v>0</v>
      </c>
      <c r="W41" s="7">
        <v>0</v>
      </c>
      <c r="Y41" s="7">
        <v>0</v>
      </c>
      <c r="AA41" s="7">
        <v>0</v>
      </c>
      <c r="AC41" s="7">
        <v>0</v>
      </c>
      <c r="AE41" s="7">
        <v>0</v>
      </c>
      <c r="AF41" s="7"/>
      <c r="AG41" s="7">
        <v>0</v>
      </c>
      <c r="AH41" s="7"/>
      <c r="AI41" s="7">
        <v>0</v>
      </c>
      <c r="AJ41" s="7"/>
      <c r="AK41" s="7">
        <v>0</v>
      </c>
      <c r="AL41" s="7"/>
      <c r="AM41" s="7">
        <v>0</v>
      </c>
    </row>
    <row r="42" spans="1:39">
      <c r="A42" s="17" t="s">
        <v>69</v>
      </c>
      <c r="B42" s="17"/>
      <c r="C42" s="7">
        <f t="shared" si="1"/>
        <v>0</v>
      </c>
      <c r="E42" s="7">
        <v>0</v>
      </c>
      <c r="F42" s="7"/>
      <c r="G42" s="7">
        <v>0</v>
      </c>
      <c r="H42" s="7"/>
      <c r="I42" s="7">
        <v>0</v>
      </c>
      <c r="J42" s="7"/>
      <c r="K42" s="7">
        <v>0</v>
      </c>
      <c r="L42" s="7"/>
      <c r="M42" s="7">
        <v>0</v>
      </c>
      <c r="N42" s="7"/>
      <c r="O42" s="7">
        <v>0</v>
      </c>
      <c r="P42" s="7"/>
      <c r="Q42" s="7">
        <v>0</v>
      </c>
      <c r="R42" s="7"/>
      <c r="S42" s="7">
        <v>0</v>
      </c>
      <c r="T42" s="7"/>
      <c r="U42" s="7">
        <v>0</v>
      </c>
      <c r="W42" s="7">
        <v>0</v>
      </c>
      <c r="Y42" s="7">
        <v>0</v>
      </c>
      <c r="AA42" s="7">
        <v>0</v>
      </c>
      <c r="AC42" s="7">
        <v>0</v>
      </c>
      <c r="AE42" s="7">
        <v>0</v>
      </c>
      <c r="AF42" s="7"/>
      <c r="AG42" s="7">
        <v>0</v>
      </c>
      <c r="AH42" s="7"/>
      <c r="AI42" s="7">
        <v>0</v>
      </c>
      <c r="AJ42" s="7"/>
      <c r="AK42" s="7">
        <v>0</v>
      </c>
      <c r="AL42" s="7"/>
      <c r="AM42" s="7">
        <v>0</v>
      </c>
    </row>
    <row r="43" spans="1:39">
      <c r="A43" s="17" t="s">
        <v>70</v>
      </c>
      <c r="B43" s="17"/>
      <c r="C43" s="7">
        <f t="shared" si="1"/>
        <v>0</v>
      </c>
      <c r="E43" s="7">
        <v>0</v>
      </c>
      <c r="F43" s="7"/>
      <c r="G43" s="7">
        <v>0</v>
      </c>
      <c r="H43" s="7"/>
      <c r="I43" s="7">
        <v>0</v>
      </c>
      <c r="J43" s="7"/>
      <c r="K43" s="7">
        <v>0</v>
      </c>
      <c r="L43" s="7"/>
      <c r="M43" s="7">
        <v>0</v>
      </c>
      <c r="N43" s="7"/>
      <c r="O43" s="7">
        <v>0</v>
      </c>
      <c r="P43" s="7"/>
      <c r="Q43" s="7">
        <v>0</v>
      </c>
      <c r="R43" s="7"/>
      <c r="S43" s="7">
        <v>0</v>
      </c>
      <c r="T43" s="7"/>
      <c r="U43" s="7">
        <v>0</v>
      </c>
      <c r="W43" s="7">
        <v>0</v>
      </c>
      <c r="Y43" s="7">
        <v>0</v>
      </c>
      <c r="AA43" s="7">
        <v>0</v>
      </c>
      <c r="AC43" s="7">
        <v>0</v>
      </c>
      <c r="AE43" s="7">
        <v>0</v>
      </c>
      <c r="AF43" s="7"/>
      <c r="AG43" s="7">
        <v>0</v>
      </c>
      <c r="AH43" s="7"/>
      <c r="AI43" s="7">
        <v>0</v>
      </c>
      <c r="AJ43" s="7"/>
      <c r="AK43" s="7">
        <v>0</v>
      </c>
      <c r="AL43" s="7"/>
      <c r="AM43" s="7">
        <v>0</v>
      </c>
    </row>
    <row r="44" spans="1:39">
      <c r="A44" s="17" t="s">
        <v>71</v>
      </c>
      <c r="B44" s="17"/>
      <c r="C44" s="7">
        <f t="shared" si="1"/>
        <v>0</v>
      </c>
      <c r="E44" s="7">
        <v>0</v>
      </c>
      <c r="F44" s="7"/>
      <c r="G44" s="7">
        <v>0</v>
      </c>
      <c r="H44" s="7"/>
      <c r="I44" s="7">
        <v>0</v>
      </c>
      <c r="J44" s="7"/>
      <c r="K44" s="7">
        <v>0</v>
      </c>
      <c r="L44" s="7"/>
      <c r="M44" s="7">
        <v>0</v>
      </c>
      <c r="N44" s="7"/>
      <c r="O44" s="7">
        <v>0</v>
      </c>
      <c r="P44" s="7"/>
      <c r="Q44" s="7">
        <v>0</v>
      </c>
      <c r="R44" s="7"/>
      <c r="S44" s="7">
        <v>0</v>
      </c>
      <c r="T44" s="7"/>
      <c r="U44" s="7">
        <v>0</v>
      </c>
      <c r="W44" s="7">
        <v>0</v>
      </c>
      <c r="Y44" s="7">
        <v>0</v>
      </c>
      <c r="AA44" s="7">
        <v>0</v>
      </c>
      <c r="AC44" s="7">
        <v>0</v>
      </c>
      <c r="AE44" s="7">
        <v>0</v>
      </c>
      <c r="AF44" s="7"/>
      <c r="AG44" s="7">
        <v>0</v>
      </c>
      <c r="AH44" s="7"/>
      <c r="AI44" s="7">
        <v>0</v>
      </c>
      <c r="AJ44" s="7"/>
      <c r="AK44" s="7">
        <v>0</v>
      </c>
      <c r="AL44" s="7"/>
      <c r="AM44" s="7">
        <v>0</v>
      </c>
    </row>
    <row r="45" spans="1:39">
      <c r="A45" s="17" t="s">
        <v>63</v>
      </c>
      <c r="B45" s="17"/>
      <c r="C45" s="7">
        <f t="shared" si="1"/>
        <v>0</v>
      </c>
      <c r="E45" s="7">
        <v>0</v>
      </c>
      <c r="F45" s="7"/>
      <c r="G45" s="7">
        <v>0</v>
      </c>
      <c r="H45" s="7"/>
      <c r="I45" s="7">
        <v>0</v>
      </c>
      <c r="J45" s="7"/>
      <c r="K45" s="7">
        <v>0</v>
      </c>
      <c r="L45" s="7"/>
      <c r="M45" s="7">
        <v>0</v>
      </c>
      <c r="N45" s="7"/>
      <c r="O45" s="7">
        <v>0</v>
      </c>
      <c r="P45" s="7"/>
      <c r="Q45" s="7">
        <v>0</v>
      </c>
      <c r="R45" s="7"/>
      <c r="S45" s="7">
        <v>0</v>
      </c>
      <c r="T45" s="7"/>
      <c r="U45" s="7">
        <v>0</v>
      </c>
      <c r="W45" s="7">
        <v>0</v>
      </c>
      <c r="Y45" s="7">
        <v>0</v>
      </c>
      <c r="AA45" s="7">
        <v>0</v>
      </c>
      <c r="AC45" s="7">
        <v>0</v>
      </c>
      <c r="AE45" s="7">
        <v>0</v>
      </c>
      <c r="AF45" s="7"/>
      <c r="AG45" s="7">
        <v>0</v>
      </c>
      <c r="AH45" s="7"/>
      <c r="AI45" s="7">
        <v>0</v>
      </c>
      <c r="AJ45" s="7"/>
      <c r="AK45" s="7">
        <v>0</v>
      </c>
      <c r="AL45" s="7"/>
      <c r="AM45" s="7">
        <v>0</v>
      </c>
    </row>
    <row r="46" spans="1:39">
      <c r="A46" s="17" t="s">
        <v>72</v>
      </c>
      <c r="B46" s="17"/>
      <c r="C46" s="7">
        <f t="shared" si="1"/>
        <v>0</v>
      </c>
      <c r="E46" s="7">
        <v>0</v>
      </c>
      <c r="F46" s="7"/>
      <c r="G46" s="7">
        <v>0</v>
      </c>
      <c r="H46" s="7"/>
      <c r="I46" s="7">
        <v>0</v>
      </c>
      <c r="J46" s="7"/>
      <c r="K46" s="7">
        <v>0</v>
      </c>
      <c r="L46" s="7"/>
      <c r="M46" s="7">
        <v>0</v>
      </c>
      <c r="N46" s="7"/>
      <c r="O46" s="7">
        <v>0</v>
      </c>
      <c r="P46" s="7"/>
      <c r="Q46" s="7">
        <v>0</v>
      </c>
      <c r="R46" s="7"/>
      <c r="S46" s="7">
        <v>0</v>
      </c>
      <c r="T46" s="7"/>
      <c r="U46" s="7">
        <v>0</v>
      </c>
      <c r="W46" s="7">
        <v>0</v>
      </c>
      <c r="Y46" s="7">
        <v>0</v>
      </c>
      <c r="AA46" s="7">
        <v>0</v>
      </c>
      <c r="AC46" s="7">
        <v>0</v>
      </c>
      <c r="AE46" s="7">
        <v>0</v>
      </c>
      <c r="AF46" s="7"/>
      <c r="AG46" s="7">
        <v>0</v>
      </c>
      <c r="AH46" s="7"/>
      <c r="AI46" s="7">
        <v>0</v>
      </c>
      <c r="AJ46" s="7"/>
      <c r="AK46" s="7">
        <v>0</v>
      </c>
      <c r="AL46" s="7"/>
      <c r="AM46" s="7">
        <v>0</v>
      </c>
    </row>
    <row r="47" spans="1:39">
      <c r="A47" s="17" t="s">
        <v>73</v>
      </c>
      <c r="B47" s="17"/>
      <c r="C47" s="7">
        <f t="shared" si="1"/>
        <v>0</v>
      </c>
      <c r="E47" s="7">
        <v>0</v>
      </c>
      <c r="F47" s="7"/>
      <c r="G47" s="7">
        <v>0</v>
      </c>
      <c r="H47" s="7"/>
      <c r="I47" s="7">
        <v>0</v>
      </c>
      <c r="J47" s="7"/>
      <c r="K47" s="7">
        <v>0</v>
      </c>
      <c r="L47" s="7"/>
      <c r="M47" s="7">
        <v>0</v>
      </c>
      <c r="N47" s="7"/>
      <c r="O47" s="7">
        <v>0</v>
      </c>
      <c r="P47" s="7"/>
      <c r="Q47" s="7">
        <v>0</v>
      </c>
      <c r="R47" s="7"/>
      <c r="S47" s="7">
        <v>0</v>
      </c>
      <c r="T47" s="7"/>
      <c r="U47" s="7">
        <v>0</v>
      </c>
      <c r="W47" s="7">
        <v>0</v>
      </c>
      <c r="Y47" s="7">
        <v>0</v>
      </c>
      <c r="AA47" s="7">
        <v>0</v>
      </c>
      <c r="AC47" s="7">
        <v>0</v>
      </c>
      <c r="AE47" s="7">
        <v>0</v>
      </c>
      <c r="AF47" s="7"/>
      <c r="AG47" s="7">
        <v>0</v>
      </c>
      <c r="AH47" s="7"/>
      <c r="AI47" s="7">
        <v>0</v>
      </c>
      <c r="AJ47" s="7"/>
      <c r="AK47" s="7">
        <v>0</v>
      </c>
      <c r="AL47" s="7"/>
      <c r="AM47" s="7">
        <v>0</v>
      </c>
    </row>
    <row r="48" spans="1:39">
      <c r="A48" s="17" t="s">
        <v>74</v>
      </c>
      <c r="B48" s="17"/>
      <c r="C48" s="7">
        <f t="shared" si="1"/>
        <v>0</v>
      </c>
      <c r="E48" s="7">
        <v>0</v>
      </c>
      <c r="F48" s="7"/>
      <c r="G48" s="7">
        <v>0</v>
      </c>
      <c r="H48" s="7"/>
      <c r="I48" s="7">
        <v>0</v>
      </c>
      <c r="J48" s="7"/>
      <c r="K48" s="7">
        <v>0</v>
      </c>
      <c r="L48" s="7"/>
      <c r="M48" s="7">
        <v>0</v>
      </c>
      <c r="N48" s="7"/>
      <c r="O48" s="7">
        <v>0</v>
      </c>
      <c r="P48" s="7"/>
      <c r="Q48" s="7">
        <v>0</v>
      </c>
      <c r="R48" s="7"/>
      <c r="S48" s="7">
        <v>0</v>
      </c>
      <c r="T48" s="7"/>
      <c r="U48" s="7">
        <v>0</v>
      </c>
      <c r="W48" s="7">
        <v>0</v>
      </c>
      <c r="Y48" s="7">
        <v>0</v>
      </c>
      <c r="AA48" s="7">
        <v>0</v>
      </c>
      <c r="AC48" s="7">
        <v>0</v>
      </c>
      <c r="AE48" s="7">
        <v>0</v>
      </c>
      <c r="AF48" s="7"/>
      <c r="AG48" s="7">
        <v>0</v>
      </c>
      <c r="AH48" s="7"/>
      <c r="AI48" s="7">
        <v>0</v>
      </c>
      <c r="AJ48" s="7"/>
      <c r="AK48" s="7">
        <v>0</v>
      </c>
      <c r="AL48" s="7"/>
      <c r="AM48" s="7">
        <v>0</v>
      </c>
    </row>
    <row r="49" spans="1:41">
      <c r="A49" s="17" t="s">
        <v>75</v>
      </c>
      <c r="B49" s="17"/>
      <c r="C49" s="7">
        <f t="shared" si="1"/>
        <v>0</v>
      </c>
      <c r="E49" s="7">
        <v>0</v>
      </c>
      <c r="F49" s="7"/>
      <c r="G49" s="7">
        <v>0</v>
      </c>
      <c r="H49" s="7"/>
      <c r="I49" s="7">
        <v>0</v>
      </c>
      <c r="J49" s="7"/>
      <c r="K49" s="7">
        <v>0</v>
      </c>
      <c r="L49" s="7"/>
      <c r="M49" s="7">
        <v>0</v>
      </c>
      <c r="N49" s="7"/>
      <c r="O49" s="7">
        <v>0</v>
      </c>
      <c r="P49" s="7"/>
      <c r="Q49" s="7">
        <v>0</v>
      </c>
      <c r="R49" s="7"/>
      <c r="S49" s="7">
        <v>0</v>
      </c>
      <c r="T49" s="7"/>
      <c r="U49" s="7">
        <v>0</v>
      </c>
      <c r="W49" s="7">
        <v>0</v>
      </c>
      <c r="Y49" s="7">
        <v>0</v>
      </c>
      <c r="AA49" s="7">
        <v>0</v>
      </c>
      <c r="AC49" s="7">
        <v>0</v>
      </c>
      <c r="AE49" s="7">
        <v>0</v>
      </c>
      <c r="AF49" s="7"/>
      <c r="AG49" s="7">
        <v>0</v>
      </c>
      <c r="AH49" s="7"/>
      <c r="AI49" s="7">
        <v>0</v>
      </c>
      <c r="AJ49" s="7"/>
      <c r="AK49" s="7">
        <v>0</v>
      </c>
      <c r="AL49" s="7"/>
      <c r="AM49" s="7">
        <v>0</v>
      </c>
    </row>
    <row r="50" spans="1:41">
      <c r="A50" s="17" t="s">
        <v>76</v>
      </c>
      <c r="B50" s="17"/>
      <c r="C50" s="7">
        <f t="shared" si="1"/>
        <v>0</v>
      </c>
      <c r="E50" s="7">
        <v>0</v>
      </c>
      <c r="F50" s="7"/>
      <c r="G50" s="7">
        <v>0</v>
      </c>
      <c r="H50" s="7"/>
      <c r="I50" s="7">
        <v>0</v>
      </c>
      <c r="J50" s="7"/>
      <c r="K50" s="7">
        <v>0</v>
      </c>
      <c r="L50" s="7"/>
      <c r="M50" s="7">
        <v>0</v>
      </c>
      <c r="N50" s="7"/>
      <c r="O50" s="7">
        <v>0</v>
      </c>
      <c r="P50" s="7"/>
      <c r="Q50" s="7">
        <v>0</v>
      </c>
      <c r="R50" s="7"/>
      <c r="S50" s="7">
        <v>0</v>
      </c>
      <c r="T50" s="7"/>
      <c r="U50" s="7">
        <v>0</v>
      </c>
      <c r="W50" s="7">
        <v>0</v>
      </c>
      <c r="Y50" s="7">
        <v>0</v>
      </c>
      <c r="AA50" s="7">
        <v>0</v>
      </c>
      <c r="AC50" s="7">
        <v>0</v>
      </c>
      <c r="AE50" s="7">
        <v>0</v>
      </c>
      <c r="AF50" s="7"/>
      <c r="AG50" s="7">
        <v>0</v>
      </c>
      <c r="AH50" s="7"/>
      <c r="AI50" s="7">
        <v>0</v>
      </c>
      <c r="AJ50" s="7"/>
      <c r="AK50" s="7">
        <v>0</v>
      </c>
      <c r="AL50" s="7"/>
      <c r="AM50" s="7">
        <v>0</v>
      </c>
    </row>
    <row r="51" spans="1:41">
      <c r="A51" s="17" t="s">
        <v>77</v>
      </c>
      <c r="B51" s="17"/>
      <c r="C51" s="7">
        <f t="shared" si="1"/>
        <v>0</v>
      </c>
      <c r="E51" s="7">
        <v>0</v>
      </c>
      <c r="F51" s="7"/>
      <c r="G51" s="7">
        <v>0</v>
      </c>
      <c r="H51" s="7"/>
      <c r="I51" s="7">
        <v>0</v>
      </c>
      <c r="J51" s="7"/>
      <c r="K51" s="7">
        <v>0</v>
      </c>
      <c r="L51" s="7"/>
      <c r="M51" s="7">
        <v>0</v>
      </c>
      <c r="N51" s="7"/>
      <c r="O51" s="7">
        <v>0</v>
      </c>
      <c r="P51" s="7"/>
      <c r="Q51" s="7">
        <v>0</v>
      </c>
      <c r="R51" s="7"/>
      <c r="S51" s="7">
        <v>0</v>
      </c>
      <c r="T51" s="7"/>
      <c r="U51" s="7">
        <v>0</v>
      </c>
      <c r="W51" s="7">
        <v>0</v>
      </c>
      <c r="Y51" s="7">
        <v>0</v>
      </c>
      <c r="AA51" s="7">
        <v>0</v>
      </c>
      <c r="AC51" s="7">
        <v>0</v>
      </c>
      <c r="AE51" s="7">
        <v>0</v>
      </c>
      <c r="AF51" s="7"/>
      <c r="AG51" s="7">
        <v>0</v>
      </c>
      <c r="AH51" s="7"/>
      <c r="AI51" s="7">
        <v>0</v>
      </c>
      <c r="AJ51" s="7"/>
      <c r="AK51" s="7">
        <v>0</v>
      </c>
      <c r="AL51" s="7"/>
      <c r="AM51" s="7">
        <v>0</v>
      </c>
    </row>
    <row r="52" spans="1:41" s="3" customFormat="1">
      <c r="A52" s="18" t="s">
        <v>78</v>
      </c>
      <c r="B52" s="18"/>
      <c r="C52" s="7">
        <f t="shared" si="1"/>
        <v>0</v>
      </c>
      <c r="E52" s="7">
        <v>0</v>
      </c>
      <c r="F52" s="8"/>
      <c r="G52" s="7">
        <v>0</v>
      </c>
      <c r="H52" s="8"/>
      <c r="I52" s="7">
        <v>0</v>
      </c>
      <c r="J52" s="8"/>
      <c r="K52" s="7">
        <v>0</v>
      </c>
      <c r="L52" s="8"/>
      <c r="M52" s="7">
        <v>0</v>
      </c>
      <c r="N52" s="8"/>
      <c r="O52" s="7">
        <v>0</v>
      </c>
      <c r="P52" s="8"/>
      <c r="Q52" s="7">
        <v>0</v>
      </c>
      <c r="R52" s="8"/>
      <c r="S52" s="7">
        <v>0</v>
      </c>
      <c r="T52" s="8"/>
      <c r="U52" s="7">
        <v>0</v>
      </c>
      <c r="W52" s="7">
        <v>0</v>
      </c>
      <c r="Y52" s="7">
        <v>0</v>
      </c>
      <c r="AA52" s="7">
        <v>0</v>
      </c>
      <c r="AC52" s="7">
        <v>0</v>
      </c>
      <c r="AE52" s="7">
        <v>0</v>
      </c>
      <c r="AF52" s="8"/>
      <c r="AG52" s="7">
        <v>0</v>
      </c>
      <c r="AH52" s="8"/>
      <c r="AI52" s="7">
        <v>0</v>
      </c>
      <c r="AJ52" s="8"/>
      <c r="AK52" s="7">
        <v>0</v>
      </c>
      <c r="AL52" s="8"/>
      <c r="AM52" s="8">
        <v>0</v>
      </c>
      <c r="AO52" s="19"/>
    </row>
    <row r="53" spans="1:41" s="3" customFormat="1">
      <c r="A53" s="20" t="s">
        <v>79</v>
      </c>
      <c r="B53" s="18"/>
      <c r="C53" s="7">
        <f t="shared" si="1"/>
        <v>0</v>
      </c>
      <c r="E53" s="7">
        <v>0</v>
      </c>
      <c r="F53" s="8"/>
      <c r="G53" s="7">
        <v>0</v>
      </c>
      <c r="H53" s="8"/>
      <c r="I53" s="7">
        <v>0</v>
      </c>
      <c r="J53" s="8"/>
      <c r="K53" s="7">
        <v>0</v>
      </c>
      <c r="L53" s="8"/>
      <c r="M53" s="7">
        <v>0</v>
      </c>
      <c r="N53" s="8"/>
      <c r="O53" s="7">
        <v>0</v>
      </c>
      <c r="P53" s="8"/>
      <c r="Q53" s="7">
        <v>0</v>
      </c>
      <c r="R53" s="8"/>
      <c r="S53" s="7">
        <v>0</v>
      </c>
      <c r="T53" s="8"/>
      <c r="U53" s="7">
        <v>0</v>
      </c>
      <c r="W53" s="7">
        <v>0</v>
      </c>
      <c r="Y53" s="7">
        <v>0</v>
      </c>
      <c r="AA53" s="7">
        <v>0</v>
      </c>
      <c r="AC53" s="7">
        <v>0</v>
      </c>
      <c r="AE53" s="7">
        <v>0</v>
      </c>
      <c r="AF53" s="8"/>
      <c r="AG53" s="7">
        <v>0</v>
      </c>
      <c r="AH53" s="8"/>
      <c r="AI53" s="7">
        <v>0</v>
      </c>
      <c r="AJ53" s="8"/>
      <c r="AK53" s="7">
        <v>0</v>
      </c>
      <c r="AL53" s="8"/>
      <c r="AM53" s="8">
        <v>0</v>
      </c>
      <c r="AO53" s="19"/>
    </row>
    <row r="54" spans="1:41" s="3" customFormat="1">
      <c r="A54" s="20" t="s">
        <v>57</v>
      </c>
      <c r="B54" s="18"/>
      <c r="C54" s="7">
        <f t="shared" si="1"/>
        <v>0</v>
      </c>
      <c r="E54" s="7">
        <v>0</v>
      </c>
      <c r="F54" s="8"/>
      <c r="G54" s="7">
        <v>0</v>
      </c>
      <c r="H54" s="8"/>
      <c r="I54" s="7">
        <v>0</v>
      </c>
      <c r="J54" s="8"/>
      <c r="K54" s="7">
        <v>0</v>
      </c>
      <c r="L54" s="8"/>
      <c r="M54" s="7">
        <v>0</v>
      </c>
      <c r="N54" s="8"/>
      <c r="O54" s="7">
        <v>0</v>
      </c>
      <c r="P54" s="8"/>
      <c r="Q54" s="7">
        <v>0</v>
      </c>
      <c r="R54" s="8"/>
      <c r="S54" s="7">
        <v>0</v>
      </c>
      <c r="T54" s="8"/>
      <c r="U54" s="7">
        <v>0</v>
      </c>
      <c r="W54" s="7">
        <v>0</v>
      </c>
      <c r="Y54" s="7">
        <v>0</v>
      </c>
      <c r="AA54" s="7">
        <v>0</v>
      </c>
      <c r="AC54" s="7">
        <v>0</v>
      </c>
      <c r="AE54" s="7">
        <v>0</v>
      </c>
      <c r="AF54" s="8"/>
      <c r="AG54" s="7">
        <v>0</v>
      </c>
      <c r="AH54" s="8"/>
      <c r="AI54" s="7">
        <v>0</v>
      </c>
      <c r="AJ54" s="8"/>
      <c r="AK54" s="7">
        <v>0</v>
      </c>
      <c r="AL54" s="8"/>
      <c r="AM54" s="8">
        <v>0</v>
      </c>
      <c r="AO54" s="19"/>
    </row>
    <row r="55" spans="1:41" s="3" customFormat="1">
      <c r="A55" s="20" t="s">
        <v>80</v>
      </c>
      <c r="B55" s="18"/>
      <c r="C55" s="7">
        <f t="shared" si="1"/>
        <v>0</v>
      </c>
      <c r="E55" s="7">
        <v>0</v>
      </c>
      <c r="F55" s="8"/>
      <c r="G55" s="7">
        <v>0</v>
      </c>
      <c r="H55" s="8"/>
      <c r="I55" s="7">
        <v>0</v>
      </c>
      <c r="J55" s="8"/>
      <c r="K55" s="7">
        <v>0</v>
      </c>
      <c r="L55" s="8"/>
      <c r="M55" s="7">
        <v>0</v>
      </c>
      <c r="N55" s="8"/>
      <c r="O55" s="7">
        <v>0</v>
      </c>
      <c r="P55" s="8"/>
      <c r="Q55" s="7">
        <v>0</v>
      </c>
      <c r="R55" s="8"/>
      <c r="S55" s="7">
        <v>0</v>
      </c>
      <c r="T55" s="8"/>
      <c r="U55" s="7">
        <v>0</v>
      </c>
      <c r="W55" s="7">
        <v>0</v>
      </c>
      <c r="Y55" s="7">
        <v>0</v>
      </c>
      <c r="AA55" s="7">
        <v>0</v>
      </c>
      <c r="AC55" s="7">
        <v>0</v>
      </c>
      <c r="AE55" s="7">
        <v>0</v>
      </c>
      <c r="AF55" s="8"/>
      <c r="AG55" s="7">
        <v>0</v>
      </c>
      <c r="AH55" s="8"/>
      <c r="AI55" s="7">
        <v>0</v>
      </c>
      <c r="AJ55" s="8"/>
      <c r="AK55" s="7">
        <v>0</v>
      </c>
      <c r="AL55" s="8"/>
      <c r="AM55" s="8">
        <v>0</v>
      </c>
      <c r="AO55" s="19"/>
    </row>
    <row r="56" spans="1:41" s="3" customFormat="1">
      <c r="A56" s="20" t="s">
        <v>81</v>
      </c>
      <c r="B56" s="18"/>
      <c r="C56" s="7">
        <f t="shared" si="1"/>
        <v>0</v>
      </c>
      <c r="E56" s="7">
        <v>0</v>
      </c>
      <c r="F56" s="8"/>
      <c r="G56" s="7">
        <v>0</v>
      </c>
      <c r="H56" s="8"/>
      <c r="I56" s="7">
        <v>0</v>
      </c>
      <c r="J56" s="8"/>
      <c r="K56" s="7">
        <v>0</v>
      </c>
      <c r="L56" s="8"/>
      <c r="M56" s="7">
        <v>0</v>
      </c>
      <c r="N56" s="8"/>
      <c r="O56" s="7">
        <v>0</v>
      </c>
      <c r="P56" s="8"/>
      <c r="Q56" s="7">
        <v>0</v>
      </c>
      <c r="R56" s="8"/>
      <c r="S56" s="7">
        <v>0</v>
      </c>
      <c r="T56" s="8"/>
      <c r="U56" s="7">
        <v>0</v>
      </c>
      <c r="W56" s="7">
        <v>0</v>
      </c>
      <c r="Y56" s="7">
        <v>0</v>
      </c>
      <c r="AA56" s="7">
        <v>0</v>
      </c>
      <c r="AC56" s="7">
        <v>0</v>
      </c>
      <c r="AE56" s="7">
        <v>0</v>
      </c>
      <c r="AF56" s="8"/>
      <c r="AG56" s="7">
        <v>0</v>
      </c>
      <c r="AH56" s="8"/>
      <c r="AI56" s="7">
        <v>0</v>
      </c>
      <c r="AJ56" s="8"/>
      <c r="AK56" s="7">
        <v>0</v>
      </c>
      <c r="AL56" s="8"/>
      <c r="AM56" s="8">
        <v>0</v>
      </c>
      <c r="AO56" s="19"/>
    </row>
    <row r="57" spans="1:41" s="3" customFormat="1">
      <c r="A57" s="20" t="s">
        <v>36</v>
      </c>
      <c r="B57" s="18"/>
      <c r="C57" s="7">
        <f t="shared" si="1"/>
        <v>0</v>
      </c>
      <c r="E57" s="7">
        <v>0</v>
      </c>
      <c r="F57" s="8"/>
      <c r="G57" s="7">
        <v>0</v>
      </c>
      <c r="H57" s="8"/>
      <c r="I57" s="7">
        <v>0</v>
      </c>
      <c r="J57" s="8"/>
      <c r="K57" s="7">
        <v>0</v>
      </c>
      <c r="L57" s="8"/>
      <c r="M57" s="7">
        <v>0</v>
      </c>
      <c r="N57" s="8"/>
      <c r="O57" s="7">
        <v>0</v>
      </c>
      <c r="P57" s="8"/>
      <c r="Q57" s="7">
        <v>0</v>
      </c>
      <c r="R57" s="8"/>
      <c r="S57" s="7">
        <v>0</v>
      </c>
      <c r="T57" s="8"/>
      <c r="U57" s="7">
        <v>0</v>
      </c>
      <c r="W57" s="7">
        <v>0</v>
      </c>
      <c r="Y57" s="7">
        <v>0</v>
      </c>
      <c r="AA57" s="7">
        <v>0</v>
      </c>
      <c r="AC57" s="7">
        <v>0</v>
      </c>
      <c r="AE57" s="7">
        <v>0</v>
      </c>
      <c r="AF57" s="8"/>
      <c r="AG57" s="7">
        <v>0</v>
      </c>
      <c r="AH57" s="8"/>
      <c r="AI57" s="7">
        <v>0</v>
      </c>
      <c r="AJ57" s="8"/>
      <c r="AK57" s="7">
        <v>0</v>
      </c>
      <c r="AL57" s="8"/>
      <c r="AM57" s="8">
        <v>0</v>
      </c>
      <c r="AO57" s="19"/>
    </row>
    <row r="58" spans="1:41" s="3" customFormat="1">
      <c r="A58" s="20" t="s">
        <v>82</v>
      </c>
      <c r="B58" s="18"/>
      <c r="C58" s="7">
        <f t="shared" si="1"/>
        <v>0</v>
      </c>
      <c r="E58" s="7">
        <v>0</v>
      </c>
      <c r="F58" s="8"/>
      <c r="G58" s="7">
        <v>0</v>
      </c>
      <c r="H58" s="8"/>
      <c r="I58" s="7">
        <v>0</v>
      </c>
      <c r="J58" s="8"/>
      <c r="K58" s="7">
        <v>0</v>
      </c>
      <c r="L58" s="8"/>
      <c r="M58" s="7">
        <v>0</v>
      </c>
      <c r="N58" s="8"/>
      <c r="O58" s="7">
        <v>0</v>
      </c>
      <c r="P58" s="8"/>
      <c r="Q58" s="7">
        <v>0</v>
      </c>
      <c r="R58" s="8"/>
      <c r="S58" s="7">
        <v>0</v>
      </c>
      <c r="T58" s="8"/>
      <c r="U58" s="7">
        <v>0</v>
      </c>
      <c r="W58" s="7">
        <v>0</v>
      </c>
      <c r="Y58" s="7">
        <v>0</v>
      </c>
      <c r="AA58" s="7">
        <v>0</v>
      </c>
      <c r="AC58" s="7">
        <v>0</v>
      </c>
      <c r="AE58" s="7">
        <v>0</v>
      </c>
      <c r="AF58" s="8"/>
      <c r="AG58" s="7">
        <v>0</v>
      </c>
      <c r="AH58" s="8"/>
      <c r="AI58" s="7">
        <v>0</v>
      </c>
      <c r="AJ58" s="8"/>
      <c r="AK58" s="7">
        <v>0</v>
      </c>
      <c r="AL58" s="8"/>
      <c r="AM58" s="8">
        <v>0</v>
      </c>
      <c r="AO58" s="19"/>
    </row>
    <row r="59" spans="1:41">
      <c r="A59" s="20" t="s">
        <v>12</v>
      </c>
      <c r="B59" s="17"/>
      <c r="C59" s="21">
        <f t="shared" si="1"/>
        <v>0</v>
      </c>
      <c r="E59" s="21">
        <v>0</v>
      </c>
      <c r="F59" s="8"/>
      <c r="G59" s="21">
        <v>0</v>
      </c>
      <c r="H59" s="8"/>
      <c r="I59" s="21">
        <v>0</v>
      </c>
      <c r="J59" s="8"/>
      <c r="K59" s="21">
        <v>0</v>
      </c>
      <c r="L59" s="8"/>
      <c r="M59" s="21">
        <v>0</v>
      </c>
      <c r="N59" s="8"/>
      <c r="O59" s="21">
        <v>0</v>
      </c>
      <c r="P59" s="8"/>
      <c r="Q59" s="21">
        <v>0</v>
      </c>
      <c r="R59" s="8"/>
      <c r="S59" s="21">
        <v>0</v>
      </c>
      <c r="T59" s="8"/>
      <c r="U59" s="21">
        <v>0</v>
      </c>
      <c r="W59" s="21">
        <v>0</v>
      </c>
      <c r="Y59" s="21">
        <v>0</v>
      </c>
      <c r="AA59" s="21">
        <v>0</v>
      </c>
      <c r="AC59" s="21">
        <v>0</v>
      </c>
      <c r="AE59" s="21">
        <v>0</v>
      </c>
      <c r="AF59" s="8"/>
      <c r="AG59" s="21">
        <v>0</v>
      </c>
      <c r="AH59" s="8"/>
      <c r="AI59" s="21">
        <v>0</v>
      </c>
      <c r="AJ59" s="8"/>
      <c r="AK59" s="21">
        <v>0</v>
      </c>
      <c r="AL59" s="8"/>
      <c r="AM59" s="6">
        <v>0</v>
      </c>
    </row>
    <row r="60" spans="1:41" ht="13.5" thickBot="1">
      <c r="A60" s="17" t="s">
        <v>6</v>
      </c>
      <c r="B60" s="17"/>
      <c r="C60" s="15">
        <f>SUM(C39:C59)</f>
        <v>0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0</v>
      </c>
    </row>
    <row r="61" spans="1:41" ht="13.5" thickTop="1"/>
    <row r="65" spans="1:1">
      <c r="A65" s="22" t="str">
        <f ca="1">CELL("filename",A1)</f>
        <v>C:\Users\Felienne\Enron\EnronSpreadsheets\[tracy_geaccone__40169__Aug 2001 G&amp;A est.xls]Expenses-Sep-Dec 2001</v>
      </c>
    </row>
    <row r="66" spans="1:1">
      <c r="A66" s="26">
        <f ca="1">NOW()</f>
        <v>41887.550950810182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11223">
    <pageSetUpPr fitToPage="1"/>
  </sheetPr>
  <dimension ref="A1:AO66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A60" sqref="A60"/>
    </sheetView>
  </sheetViews>
  <sheetFormatPr defaultColWidth="14.28515625" defaultRowHeight="12.75"/>
  <cols>
    <col min="1" max="1" width="26.5703125" style="1" customWidth="1"/>
    <col min="2" max="2" width="2.7109375" style="1" customWidth="1"/>
    <col min="3" max="3" width="10.7109375" style="1" customWidth="1"/>
    <col min="4" max="4" width="1.7109375" style="1" customWidth="1"/>
    <col min="5" max="5" width="10.7109375" style="1" customWidth="1"/>
    <col min="6" max="6" width="1.7109375" style="1" customWidth="1"/>
    <col min="7" max="7" width="10.7109375" style="1" customWidth="1"/>
    <col min="8" max="8" width="1.7109375" style="1" customWidth="1"/>
    <col min="9" max="9" width="10.7109375" style="1" customWidth="1"/>
    <col min="10" max="10" width="1.7109375" style="1" customWidth="1"/>
    <col min="11" max="11" width="10.7109375" style="1" customWidth="1"/>
    <col min="12" max="12" width="1.7109375" style="1" customWidth="1"/>
    <col min="13" max="13" width="10.7109375" style="1" customWidth="1"/>
    <col min="14" max="14" width="1.7109375" style="1" customWidth="1"/>
    <col min="15" max="15" width="10.7109375" style="1" customWidth="1"/>
    <col min="16" max="16" width="1.7109375" style="1" customWidth="1"/>
    <col min="17" max="17" width="10.7109375" style="1" customWidth="1"/>
    <col min="18" max="18" width="1.7109375" style="1" customWidth="1"/>
    <col min="19" max="19" width="10.7109375" style="1" customWidth="1"/>
    <col min="20" max="20" width="1.7109375" style="1" customWidth="1"/>
    <col min="21" max="21" width="10.7109375" style="1" customWidth="1"/>
    <col min="22" max="22" width="1.7109375" style="1" customWidth="1"/>
    <col min="23" max="23" width="10.7109375" style="1" customWidth="1"/>
    <col min="24" max="24" width="1.7109375" style="1" customWidth="1"/>
    <col min="25" max="25" width="10.7109375" style="1" customWidth="1"/>
    <col min="26" max="26" width="1.7109375" style="1" customWidth="1"/>
    <col min="27" max="27" width="9.7109375" style="1" customWidth="1"/>
    <col min="28" max="28" width="1.7109375" style="1" customWidth="1"/>
    <col min="29" max="29" width="10.7109375" style="1" customWidth="1"/>
    <col min="30" max="30" width="1.7109375" style="1" customWidth="1"/>
    <col min="31" max="31" width="10.7109375" style="1" customWidth="1"/>
    <col min="32" max="32" width="1.7109375" style="1" customWidth="1"/>
    <col min="33" max="33" width="10.7109375" style="1" customWidth="1"/>
    <col min="34" max="34" width="1.7109375" style="1" customWidth="1"/>
    <col min="35" max="35" width="10.7109375" style="1" customWidth="1"/>
    <col min="36" max="36" width="1.7109375" style="1" customWidth="1"/>
    <col min="37" max="37" width="10.7109375" style="1" customWidth="1"/>
    <col min="38" max="38" width="1.7109375" style="1" customWidth="1"/>
    <col min="39" max="39" width="10.7109375" style="1" customWidth="1"/>
    <col min="40" max="40" width="8.5703125" style="1" customWidth="1"/>
    <col min="41" max="41" width="14.28515625" style="2"/>
    <col min="42" max="16384" width="14.28515625" style="1"/>
  </cols>
  <sheetData>
    <row r="1" spans="1:41" ht="15.75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</row>
    <row r="2" spans="1:41" ht="15.75" customHeight="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</row>
    <row r="3" spans="1:41" ht="15.75" customHeight="1">
      <c r="A3" s="27" t="s">
        <v>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</row>
    <row r="4" spans="1:41">
      <c r="A4" s="28" t="s">
        <v>3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</row>
    <row r="5" spans="1:41">
      <c r="C5" s="3"/>
      <c r="D5" s="3"/>
    </row>
    <row r="6" spans="1:41"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 t="s">
        <v>4</v>
      </c>
      <c r="R6" s="5"/>
      <c r="S6" s="5" t="s">
        <v>4</v>
      </c>
      <c r="T6" s="5"/>
      <c r="U6" s="5"/>
      <c r="W6" s="5"/>
      <c r="Y6" s="5"/>
      <c r="AA6" s="5"/>
      <c r="AC6" s="5"/>
      <c r="AE6" s="5"/>
      <c r="AF6" s="5"/>
      <c r="AG6" s="5" t="s">
        <v>5</v>
      </c>
      <c r="AH6" s="5"/>
      <c r="AI6" s="5"/>
      <c r="AJ6" s="5"/>
      <c r="AK6" s="5"/>
      <c r="AL6" s="5"/>
      <c r="AM6" s="5"/>
    </row>
    <row r="7" spans="1:41">
      <c r="C7" s="6" t="s">
        <v>6</v>
      </c>
      <c r="D7" s="4"/>
      <c r="E7" s="6" t="s">
        <v>7</v>
      </c>
      <c r="F7" s="4"/>
      <c r="G7" s="6" t="s">
        <v>8</v>
      </c>
      <c r="H7" s="4"/>
      <c r="I7" s="6" t="s">
        <v>83</v>
      </c>
      <c r="J7" s="4"/>
      <c r="K7" s="6" t="s">
        <v>9</v>
      </c>
      <c r="L7" s="4"/>
      <c r="M7" s="6" t="s">
        <v>10</v>
      </c>
      <c r="N7" s="4"/>
      <c r="O7" s="6" t="s">
        <v>11</v>
      </c>
      <c r="P7" s="4"/>
      <c r="Q7" s="6" t="s">
        <v>12</v>
      </c>
      <c r="R7" s="4"/>
      <c r="S7" s="6" t="s">
        <v>13</v>
      </c>
      <c r="T7" s="4"/>
      <c r="U7" s="6" t="s">
        <v>14</v>
      </c>
      <c r="W7" s="6" t="s">
        <v>15</v>
      </c>
      <c r="Y7" s="6" t="s">
        <v>16</v>
      </c>
      <c r="AA7" s="6" t="s">
        <v>17</v>
      </c>
      <c r="AC7" s="6" t="s">
        <v>18</v>
      </c>
      <c r="AE7" s="6" t="s">
        <v>19</v>
      </c>
      <c r="AF7" s="4"/>
      <c r="AG7" s="6" t="s">
        <v>20</v>
      </c>
      <c r="AH7" s="4"/>
      <c r="AI7" s="6" t="s">
        <v>21</v>
      </c>
      <c r="AJ7" s="4"/>
      <c r="AK7" s="6" t="s">
        <v>13</v>
      </c>
      <c r="AL7" s="4"/>
      <c r="AM7" s="6" t="s">
        <v>22</v>
      </c>
    </row>
    <row r="8" spans="1:41">
      <c r="A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W8" s="4"/>
      <c r="Y8" s="4"/>
      <c r="AA8" s="4"/>
      <c r="AC8" s="4"/>
      <c r="AE8" s="4"/>
      <c r="AF8" s="4"/>
      <c r="AG8" s="4"/>
      <c r="AH8" s="4"/>
      <c r="AI8" s="4"/>
      <c r="AJ8" s="4"/>
      <c r="AK8" s="4"/>
      <c r="AL8" s="4"/>
      <c r="AM8" s="4"/>
    </row>
    <row r="9" spans="1:41">
      <c r="A9" s="1" t="s">
        <v>23</v>
      </c>
      <c r="C9" s="7">
        <f t="shared" ref="C9:C30" si="0">SUM(E9:AM9)</f>
        <v>1211964</v>
      </c>
      <c r="D9" s="8"/>
      <c r="E9" s="9">
        <f>'Expenses-YTD Aug 2001'!E9+'Expenses-Sep-Dec 2001'!E9</f>
        <v>94496</v>
      </c>
      <c r="F9" s="7"/>
      <c r="G9" s="9">
        <f>'Expenses-YTD Aug 2001'!G9+'Expenses-Sep-Dec 2001'!G9</f>
        <v>59217</v>
      </c>
      <c r="H9" s="7"/>
      <c r="I9" s="9">
        <f>'Expenses-YTD Aug 2001'!I9+'Expenses-Sep-Dec 2001'!I9</f>
        <v>32183</v>
      </c>
      <c r="J9" s="7"/>
      <c r="K9" s="9">
        <f>'Expenses-YTD Aug 2001'!K9+'Expenses-Sep-Dec 2001'!K9</f>
        <v>112868</v>
      </c>
      <c r="L9" s="7"/>
      <c r="M9" s="9">
        <f>'Expenses-YTD Aug 2001'!M9+'Expenses-Sep-Dec 2001'!M9</f>
        <v>14006</v>
      </c>
      <c r="N9" s="7"/>
      <c r="O9" s="9">
        <f>'Expenses-YTD Aug 2001'!O9+'Expenses-Sep-Dec 2001'!O9</f>
        <v>1457</v>
      </c>
      <c r="P9" s="7"/>
      <c r="Q9" s="9">
        <f>'Expenses-YTD Aug 2001'!Q9+'Expenses-Sep-Dec 2001'!Q9</f>
        <v>4375</v>
      </c>
      <c r="R9" s="7"/>
      <c r="S9" s="9">
        <f>'Expenses-YTD Aug 2001'!S9+'Expenses-Sep-Dec 2001'!S9</f>
        <v>913</v>
      </c>
      <c r="T9" s="7"/>
      <c r="U9" s="9">
        <f>'Expenses-YTD Aug 2001'!U9+'Expenses-Sep-Dec 2001'!U9</f>
        <v>157889</v>
      </c>
      <c r="W9" s="9">
        <f>'Expenses-YTD Aug 2001'!W9+'Expenses-Sep-Dec 2001'!W9</f>
        <v>50852</v>
      </c>
      <c r="Y9" s="9">
        <f>'Expenses-YTD Aug 2001'!Y9+'Expenses-Sep-Dec 2001'!Y9</f>
        <v>23114</v>
      </c>
      <c r="AA9" s="9">
        <f>'Expenses-YTD Aug 2001'!AA9+'Expenses-Sep-Dec 2001'!AA9</f>
        <v>81055</v>
      </c>
      <c r="AC9" s="9">
        <f>'Expenses-YTD Aug 2001'!AC9+'Expenses-Sep-Dec 2001'!AC9</f>
        <v>146037</v>
      </c>
      <c r="AE9" s="9">
        <f>'Expenses-YTD Aug 2001'!AE9+'Expenses-Sep-Dec 2001'!AE9</f>
        <v>6692</v>
      </c>
      <c r="AF9" s="7"/>
      <c r="AG9" s="9">
        <f>'Expenses-YTD Aug 2001'!AG9+'Expenses-Sep-Dec 2001'!AG9</f>
        <v>637</v>
      </c>
      <c r="AH9" s="7"/>
      <c r="AI9" s="9">
        <f>'Expenses-YTD Aug 2001'!AI9+'Expenses-Sep-Dec 2001'!AI9</f>
        <v>92269</v>
      </c>
      <c r="AJ9" s="7"/>
      <c r="AK9" s="9">
        <f>'Expenses-YTD Aug 2001'!AK9+'Expenses-Sep-Dec 2001'!AK9</f>
        <v>180838</v>
      </c>
      <c r="AL9" s="7"/>
      <c r="AM9" s="9">
        <f>'Expenses-YTD Aug 2001'!AM9+'Expenses-Sep-Dec 2001'!AM9</f>
        <v>153066</v>
      </c>
      <c r="AO9" s="2">
        <v>52000500</v>
      </c>
    </row>
    <row r="10" spans="1:41">
      <c r="A10" s="1" t="s">
        <v>24</v>
      </c>
      <c r="C10" s="7">
        <f t="shared" si="0"/>
        <v>204007</v>
      </c>
      <c r="D10" s="8"/>
      <c r="E10" s="9">
        <f>'Expenses-YTD Aug 2001'!E10+'Expenses-Sep-Dec 2001'!E10</f>
        <v>4637</v>
      </c>
      <c r="F10" s="7"/>
      <c r="G10" s="9">
        <f>'Expenses-YTD Aug 2001'!G10+'Expenses-Sep-Dec 2001'!G10</f>
        <v>3559</v>
      </c>
      <c r="H10" s="7"/>
      <c r="I10" s="9">
        <f>'Expenses-YTD Aug 2001'!I10+'Expenses-Sep-Dec 2001'!I10</f>
        <v>2608</v>
      </c>
      <c r="J10" s="7"/>
      <c r="K10" s="9">
        <f>'Expenses-YTD Aug 2001'!K10+'Expenses-Sep-Dec 2001'!K10</f>
        <v>2557</v>
      </c>
      <c r="L10" s="7"/>
      <c r="M10" s="9">
        <f>'Expenses-YTD Aug 2001'!M10+'Expenses-Sep-Dec 2001'!M10</f>
        <v>-8609</v>
      </c>
      <c r="N10" s="7"/>
      <c r="O10" s="9">
        <f>'Expenses-YTD Aug 2001'!O10+'Expenses-Sep-Dec 2001'!O10</f>
        <v>41</v>
      </c>
      <c r="P10" s="7"/>
      <c r="Q10" s="9">
        <f>'Expenses-YTD Aug 2001'!Q10+'Expenses-Sep-Dec 2001'!Q10</f>
        <v>115</v>
      </c>
      <c r="R10" s="7"/>
      <c r="S10" s="9">
        <f>'Expenses-YTD Aug 2001'!S10+'Expenses-Sep-Dec 2001'!S10</f>
        <v>102</v>
      </c>
      <c r="T10" s="7"/>
      <c r="U10" s="9">
        <f>'Expenses-YTD Aug 2001'!U10+'Expenses-Sep-Dec 2001'!U10</f>
        <v>26102</v>
      </c>
      <c r="W10" s="9">
        <f>'Expenses-YTD Aug 2001'!W10+'Expenses-Sep-Dec 2001'!W10</f>
        <v>2466</v>
      </c>
      <c r="Y10" s="9">
        <f>'Expenses-YTD Aug 2001'!Y10+'Expenses-Sep-Dec 2001'!Y10</f>
        <v>432</v>
      </c>
      <c r="AA10" s="9">
        <f>'Expenses-YTD Aug 2001'!AA10+'Expenses-Sep-Dec 2001'!AA10</f>
        <v>-53</v>
      </c>
      <c r="AC10" s="9">
        <f>'Expenses-YTD Aug 2001'!AC10+'Expenses-Sep-Dec 2001'!AC10</f>
        <v>9218</v>
      </c>
      <c r="AE10" s="9">
        <f>'Expenses-YTD Aug 2001'!AE10+'Expenses-Sep-Dec 2001'!AE10</f>
        <v>679</v>
      </c>
      <c r="AF10" s="7"/>
      <c r="AG10" s="9">
        <f>'Expenses-YTD Aug 2001'!AG10+'Expenses-Sep-Dec 2001'!AG10</f>
        <v>87</v>
      </c>
      <c r="AH10" s="7"/>
      <c r="AI10" s="9">
        <f>'Expenses-YTD Aug 2001'!AI10+'Expenses-Sep-Dec 2001'!AI10</f>
        <v>964</v>
      </c>
      <c r="AJ10" s="7"/>
      <c r="AK10" s="9">
        <f>'Expenses-YTD Aug 2001'!AK10+'Expenses-Sep-Dec 2001'!AK10</f>
        <v>5874</v>
      </c>
      <c r="AL10" s="7"/>
      <c r="AM10" s="9">
        <f>'Expenses-YTD Aug 2001'!AM10+'Expenses-Sep-Dec 2001'!AM10</f>
        <v>153228</v>
      </c>
      <c r="AO10" s="2" t="s">
        <v>25</v>
      </c>
    </row>
    <row r="11" spans="1:41">
      <c r="A11" s="1" t="s">
        <v>26</v>
      </c>
      <c r="C11" s="7">
        <f t="shared" si="0"/>
        <v>185094</v>
      </c>
      <c r="D11" s="8"/>
      <c r="E11" s="9">
        <f>'Expenses-YTD Aug 2001'!E11+'Expenses-Sep-Dec 2001'!E11</f>
        <v>7032</v>
      </c>
      <c r="F11" s="7"/>
      <c r="G11" s="9">
        <f>'Expenses-YTD Aug 2001'!G11+'Expenses-Sep-Dec 2001'!G11</f>
        <v>8541</v>
      </c>
      <c r="H11" s="7"/>
      <c r="I11" s="9">
        <f>'Expenses-YTD Aug 2001'!I11+'Expenses-Sep-Dec 2001'!I11</f>
        <v>9180</v>
      </c>
      <c r="J11" s="7"/>
      <c r="K11" s="9">
        <f>'Expenses-YTD Aug 2001'!K11+'Expenses-Sep-Dec 2001'!K11</f>
        <v>10783</v>
      </c>
      <c r="L11" s="7"/>
      <c r="M11" s="9">
        <f>'Expenses-YTD Aug 2001'!M11+'Expenses-Sep-Dec 2001'!M11</f>
        <v>1753</v>
      </c>
      <c r="N11" s="7"/>
      <c r="O11" s="9">
        <f>'Expenses-YTD Aug 2001'!O11+'Expenses-Sep-Dec 2001'!O11</f>
        <v>124</v>
      </c>
      <c r="P11" s="7"/>
      <c r="Q11" s="9">
        <f>'Expenses-YTD Aug 2001'!Q11+'Expenses-Sep-Dec 2001'!Q11</f>
        <v>547</v>
      </c>
      <c r="R11" s="7"/>
      <c r="S11" s="9">
        <f>'Expenses-YTD Aug 2001'!S11+'Expenses-Sep-Dec 2001'!S11</f>
        <v>40</v>
      </c>
      <c r="T11" s="7"/>
      <c r="U11" s="9">
        <f>'Expenses-YTD Aug 2001'!U11+'Expenses-Sep-Dec 2001'!U11</f>
        <v>27923</v>
      </c>
      <c r="W11" s="9">
        <f>'Expenses-YTD Aug 2001'!W11+'Expenses-Sep-Dec 2001'!W11</f>
        <v>10244</v>
      </c>
      <c r="Y11" s="9">
        <f>'Expenses-YTD Aug 2001'!Y11+'Expenses-Sep-Dec 2001'!Y11</f>
        <v>5128</v>
      </c>
      <c r="AA11" s="9">
        <f>'Expenses-YTD Aug 2001'!AA11+'Expenses-Sep-Dec 2001'!AA11</f>
        <v>5628</v>
      </c>
      <c r="AC11" s="9">
        <f>'Expenses-YTD Aug 2001'!AC11+'Expenses-Sep-Dec 2001'!AC11</f>
        <v>27330</v>
      </c>
      <c r="AE11" s="9">
        <f>'Expenses-YTD Aug 2001'!AE11+'Expenses-Sep-Dec 2001'!AE11</f>
        <v>1383</v>
      </c>
      <c r="AF11" s="7"/>
      <c r="AG11" s="9">
        <f>'Expenses-YTD Aug 2001'!AG11+'Expenses-Sep-Dec 2001'!AG11</f>
        <v>2094</v>
      </c>
      <c r="AH11" s="7"/>
      <c r="AI11" s="9">
        <f>'Expenses-YTD Aug 2001'!AI11+'Expenses-Sep-Dec 2001'!AI11</f>
        <v>25390</v>
      </c>
      <c r="AJ11" s="7"/>
      <c r="AK11" s="9">
        <f>'Expenses-YTD Aug 2001'!AK11+'Expenses-Sep-Dec 2001'!AK11</f>
        <v>26090</v>
      </c>
      <c r="AL11" s="7"/>
      <c r="AM11" s="9">
        <f>'Expenses-YTD Aug 2001'!AM11+'Expenses-Sep-Dec 2001'!AM11</f>
        <v>15884</v>
      </c>
      <c r="AO11" s="2" t="s">
        <v>27</v>
      </c>
    </row>
    <row r="12" spans="1:41">
      <c r="A12" s="1" t="s">
        <v>28</v>
      </c>
      <c r="C12" s="7">
        <f t="shared" si="0"/>
        <v>-12680</v>
      </c>
      <c r="D12" s="8"/>
      <c r="E12" s="9">
        <f>'Expenses-YTD Aug 2001'!E12+'Expenses-Sep-Dec 2001'!E12</f>
        <v>488</v>
      </c>
      <c r="F12" s="9"/>
      <c r="G12" s="9">
        <f>'Expenses-YTD Aug 2001'!G12+'Expenses-Sep-Dec 2001'!G12</f>
        <v>149</v>
      </c>
      <c r="H12" s="7"/>
      <c r="I12" s="9">
        <f>'Expenses-YTD Aug 2001'!I12+'Expenses-Sep-Dec 2001'!I12</f>
        <v>441</v>
      </c>
      <c r="J12" s="7"/>
      <c r="K12" s="9">
        <f>'Expenses-YTD Aug 2001'!K12+'Expenses-Sep-Dec 2001'!K12</f>
        <v>587</v>
      </c>
      <c r="L12" s="7"/>
      <c r="M12" s="9">
        <f>'Expenses-YTD Aug 2001'!M12+'Expenses-Sep-Dec 2001'!M12</f>
        <v>0</v>
      </c>
      <c r="N12" s="7"/>
      <c r="O12" s="9">
        <f>'Expenses-YTD Aug 2001'!O12+'Expenses-Sep-Dec 2001'!O12</f>
        <v>1</v>
      </c>
      <c r="P12" s="7"/>
      <c r="Q12" s="9">
        <f>'Expenses-YTD Aug 2001'!Q12+'Expenses-Sep-Dec 2001'!Q12</f>
        <v>0</v>
      </c>
      <c r="R12" s="7"/>
      <c r="S12" s="9">
        <f>'Expenses-YTD Aug 2001'!S12+'Expenses-Sep-Dec 2001'!S12</f>
        <v>0</v>
      </c>
      <c r="T12" s="7"/>
      <c r="U12" s="9">
        <f>'Expenses-YTD Aug 2001'!U12+'Expenses-Sep-Dec 2001'!U12</f>
        <v>1389</v>
      </c>
      <c r="W12" s="9">
        <f>'Expenses-YTD Aug 2001'!W12+'Expenses-Sep-Dec 2001'!W12</f>
        <v>249</v>
      </c>
      <c r="Y12" s="9">
        <f>'Expenses-YTD Aug 2001'!Y12+'Expenses-Sep-Dec 2001'!Y12</f>
        <v>813</v>
      </c>
      <c r="AA12" s="9">
        <f>'Expenses-YTD Aug 2001'!AA12+'Expenses-Sep-Dec 2001'!AA12</f>
        <v>408</v>
      </c>
      <c r="AC12" s="9">
        <f>'Expenses-YTD Aug 2001'!AC12+'Expenses-Sep-Dec 2001'!AC12</f>
        <v>431</v>
      </c>
      <c r="AE12" s="9">
        <f>'Expenses-YTD Aug 2001'!AE12+'Expenses-Sep-Dec 2001'!AE12</f>
        <v>3</v>
      </c>
      <c r="AF12" s="7"/>
      <c r="AG12" s="9">
        <f>'Expenses-YTD Aug 2001'!AG12+'Expenses-Sep-Dec 2001'!AG12</f>
        <v>3</v>
      </c>
      <c r="AH12" s="7"/>
      <c r="AI12" s="9">
        <f>'Expenses-YTD Aug 2001'!AI12+'Expenses-Sep-Dec 2001'!AI12</f>
        <v>-29334</v>
      </c>
      <c r="AJ12" s="7"/>
      <c r="AK12" s="9">
        <f>'Expenses-YTD Aug 2001'!AK12+'Expenses-Sep-Dec 2001'!AK12</f>
        <v>2217</v>
      </c>
      <c r="AL12" s="7"/>
      <c r="AM12" s="9">
        <f>'Expenses-YTD Aug 2001'!AM12+'Expenses-Sep-Dec 2001'!AM12</f>
        <v>9475</v>
      </c>
      <c r="AO12" s="2" t="s">
        <v>29</v>
      </c>
    </row>
    <row r="13" spans="1:41">
      <c r="A13" s="1" t="s">
        <v>30</v>
      </c>
      <c r="C13" s="7">
        <f t="shared" si="0"/>
        <v>50247</v>
      </c>
      <c r="D13" s="8"/>
      <c r="E13" s="9">
        <f>'Expenses-YTD Aug 2001'!E13+'Expenses-Sep-Dec 2001'!E13</f>
        <v>4410</v>
      </c>
      <c r="F13" s="9"/>
      <c r="G13" s="9">
        <f>'Expenses-YTD Aug 2001'!G13+'Expenses-Sep-Dec 2001'!G13</f>
        <v>2242</v>
      </c>
      <c r="H13" s="7"/>
      <c r="I13" s="9">
        <f>'Expenses-YTD Aug 2001'!I13+'Expenses-Sep-Dec 2001'!I13</f>
        <v>679</v>
      </c>
      <c r="J13" s="7"/>
      <c r="K13" s="9">
        <f>'Expenses-YTD Aug 2001'!K13+'Expenses-Sep-Dec 2001'!K13</f>
        <v>2696</v>
      </c>
      <c r="L13" s="7"/>
      <c r="M13" s="9">
        <f>'Expenses-YTD Aug 2001'!M13+'Expenses-Sep-Dec 2001'!M13</f>
        <v>142</v>
      </c>
      <c r="N13" s="7"/>
      <c r="O13" s="9">
        <f>'Expenses-YTD Aug 2001'!O13+'Expenses-Sep-Dec 2001'!O13</f>
        <v>18</v>
      </c>
      <c r="P13" s="7"/>
      <c r="Q13" s="9">
        <f>'Expenses-YTD Aug 2001'!Q13+'Expenses-Sep-Dec 2001'!Q13</f>
        <v>18</v>
      </c>
      <c r="R13" s="7"/>
      <c r="S13" s="9">
        <f>'Expenses-YTD Aug 2001'!S13+'Expenses-Sep-Dec 2001'!S13</f>
        <v>5</v>
      </c>
      <c r="T13" s="7"/>
      <c r="U13" s="9">
        <f>'Expenses-YTD Aug 2001'!U13+'Expenses-Sep-Dec 2001'!U13</f>
        <v>5264</v>
      </c>
      <c r="W13" s="9">
        <f>'Expenses-YTD Aug 2001'!W13+'Expenses-Sep-Dec 2001'!W13</f>
        <v>1334</v>
      </c>
      <c r="Y13" s="9">
        <f>'Expenses-YTD Aug 2001'!Y13+'Expenses-Sep-Dec 2001'!Y13</f>
        <v>236</v>
      </c>
      <c r="AA13" s="9">
        <f>'Expenses-YTD Aug 2001'!AA13+'Expenses-Sep-Dec 2001'!AA13</f>
        <v>20658</v>
      </c>
      <c r="AC13" s="9">
        <f>'Expenses-YTD Aug 2001'!AC13+'Expenses-Sep-Dec 2001'!AC13</f>
        <v>1180</v>
      </c>
      <c r="AE13" s="9">
        <f>'Expenses-YTD Aug 2001'!AE13+'Expenses-Sep-Dec 2001'!AE13</f>
        <v>169</v>
      </c>
      <c r="AF13" s="7"/>
      <c r="AG13" s="9">
        <f>'Expenses-YTD Aug 2001'!AG13+'Expenses-Sep-Dec 2001'!AG13</f>
        <v>284</v>
      </c>
      <c r="AH13" s="7"/>
      <c r="AI13" s="9">
        <f>'Expenses-YTD Aug 2001'!AI13+'Expenses-Sep-Dec 2001'!AI13</f>
        <v>3951</v>
      </c>
      <c r="AJ13" s="7"/>
      <c r="AK13" s="9">
        <f>'Expenses-YTD Aug 2001'!AK13+'Expenses-Sep-Dec 2001'!AK13</f>
        <v>4375</v>
      </c>
      <c r="AL13" s="7"/>
      <c r="AM13" s="9">
        <f>'Expenses-YTD Aug 2001'!AM13+'Expenses-Sep-Dec 2001'!AM13</f>
        <v>2586</v>
      </c>
      <c r="AO13" s="2" t="s">
        <v>31</v>
      </c>
    </row>
    <row r="14" spans="1:41">
      <c r="A14" s="1" t="s">
        <v>32</v>
      </c>
      <c r="C14" s="7">
        <f t="shared" si="0"/>
        <v>11108</v>
      </c>
      <c r="D14" s="8"/>
      <c r="E14" s="9">
        <f>'Expenses-YTD Aug 2001'!E14+'Expenses-Sep-Dec 2001'!E14</f>
        <v>180</v>
      </c>
      <c r="F14" s="9"/>
      <c r="G14" s="9">
        <f>'Expenses-YTD Aug 2001'!G14+'Expenses-Sep-Dec 2001'!G14</f>
        <v>23</v>
      </c>
      <c r="H14" s="7"/>
      <c r="I14" s="9">
        <f>'Expenses-YTD Aug 2001'!I14+'Expenses-Sep-Dec 2001'!I14</f>
        <v>53</v>
      </c>
      <c r="J14" s="7"/>
      <c r="K14" s="9">
        <f>'Expenses-YTD Aug 2001'!K14+'Expenses-Sep-Dec 2001'!K14</f>
        <v>116</v>
      </c>
      <c r="L14" s="7"/>
      <c r="M14" s="9">
        <f>'Expenses-YTD Aug 2001'!M14+'Expenses-Sep-Dec 2001'!M14</f>
        <v>0</v>
      </c>
      <c r="N14" s="7"/>
      <c r="O14" s="9">
        <f>'Expenses-YTD Aug 2001'!O14+'Expenses-Sep-Dec 2001'!O14</f>
        <v>7</v>
      </c>
      <c r="P14" s="7"/>
      <c r="Q14" s="9">
        <f>'Expenses-YTD Aug 2001'!Q14+'Expenses-Sep-Dec 2001'!Q14</f>
        <v>18</v>
      </c>
      <c r="R14" s="7"/>
      <c r="S14" s="9">
        <f>'Expenses-YTD Aug 2001'!S14+'Expenses-Sep-Dec 2001'!S14</f>
        <v>0</v>
      </c>
      <c r="T14" s="7"/>
      <c r="U14" s="9">
        <f>'Expenses-YTD Aug 2001'!U14+'Expenses-Sep-Dec 2001'!U14</f>
        <v>131</v>
      </c>
      <c r="W14" s="9">
        <f>'Expenses-YTD Aug 2001'!W14+'Expenses-Sep-Dec 2001'!W14</f>
        <v>319</v>
      </c>
      <c r="Y14" s="9">
        <f>'Expenses-YTD Aug 2001'!Y14+'Expenses-Sep-Dec 2001'!Y14</f>
        <v>2</v>
      </c>
      <c r="AA14" s="9">
        <f>'Expenses-YTD Aug 2001'!AA14+'Expenses-Sep-Dec 2001'!AA14</f>
        <v>10</v>
      </c>
      <c r="AC14" s="9">
        <f>'Expenses-YTD Aug 2001'!AC14+'Expenses-Sep-Dec 2001'!AC14</f>
        <v>13</v>
      </c>
      <c r="AE14" s="9">
        <f>'Expenses-YTD Aug 2001'!AE14+'Expenses-Sep-Dec 2001'!AE14</f>
        <v>67</v>
      </c>
      <c r="AF14" s="7"/>
      <c r="AG14" s="9">
        <f>'Expenses-YTD Aug 2001'!AG14+'Expenses-Sep-Dec 2001'!AG14</f>
        <v>5</v>
      </c>
      <c r="AH14" s="7"/>
      <c r="AI14" s="9">
        <f>'Expenses-YTD Aug 2001'!AI14+'Expenses-Sep-Dec 2001'!AI14</f>
        <v>22</v>
      </c>
      <c r="AJ14" s="7"/>
      <c r="AK14" s="9">
        <f>'Expenses-YTD Aug 2001'!AK14+'Expenses-Sep-Dec 2001'!AK14</f>
        <v>122</v>
      </c>
      <c r="AL14" s="7"/>
      <c r="AM14" s="9">
        <f>'Expenses-YTD Aug 2001'!AM14+'Expenses-Sep-Dec 2001'!AM14</f>
        <v>10020</v>
      </c>
      <c r="AO14" s="2" t="s">
        <v>33</v>
      </c>
    </row>
    <row r="15" spans="1:41">
      <c r="A15" s="1" t="s">
        <v>34</v>
      </c>
      <c r="C15" s="7">
        <f t="shared" si="0"/>
        <v>177428</v>
      </c>
      <c r="D15" s="8"/>
      <c r="E15" s="9">
        <f>'Expenses-YTD Aug 2001'!E15+'Expenses-Sep-Dec 2001'!E15</f>
        <v>4603</v>
      </c>
      <c r="F15" s="9"/>
      <c r="G15" s="9">
        <f>'Expenses-YTD Aug 2001'!G15+'Expenses-Sep-Dec 2001'!G15</f>
        <v>227</v>
      </c>
      <c r="H15" s="7"/>
      <c r="I15" s="9">
        <f>'Expenses-YTD Aug 2001'!I15+'Expenses-Sep-Dec 2001'!I15</f>
        <v>136</v>
      </c>
      <c r="J15" s="7"/>
      <c r="K15" s="9">
        <f>'Expenses-YTD Aug 2001'!K15+'Expenses-Sep-Dec 2001'!K15</f>
        <v>-4817</v>
      </c>
      <c r="L15" s="7"/>
      <c r="M15" s="9">
        <f>'Expenses-YTD Aug 2001'!M15+'Expenses-Sep-Dec 2001'!M15</f>
        <v>36</v>
      </c>
      <c r="N15" s="7"/>
      <c r="O15" s="9">
        <f>'Expenses-YTD Aug 2001'!O15+'Expenses-Sep-Dec 2001'!O15</f>
        <v>8</v>
      </c>
      <c r="P15" s="7"/>
      <c r="Q15" s="9">
        <f>'Expenses-YTD Aug 2001'!Q15+'Expenses-Sep-Dec 2001'!Q15</f>
        <v>64</v>
      </c>
      <c r="R15" s="7"/>
      <c r="S15" s="9">
        <f>'Expenses-YTD Aug 2001'!S15+'Expenses-Sep-Dec 2001'!S15</f>
        <v>0</v>
      </c>
      <c r="T15" s="7"/>
      <c r="U15" s="9">
        <f>'Expenses-YTD Aug 2001'!U15+'Expenses-Sep-Dec 2001'!U15</f>
        <v>11884</v>
      </c>
      <c r="W15" s="9">
        <f>'Expenses-YTD Aug 2001'!W15+'Expenses-Sep-Dec 2001'!W15</f>
        <v>5359</v>
      </c>
      <c r="Y15" s="9">
        <f>'Expenses-YTD Aug 2001'!Y15+'Expenses-Sep-Dec 2001'!Y15</f>
        <v>1479</v>
      </c>
      <c r="AA15" s="9">
        <f>'Expenses-YTD Aug 2001'!AA15+'Expenses-Sep-Dec 2001'!AA15</f>
        <v>115009</v>
      </c>
      <c r="AC15" s="9">
        <f>'Expenses-YTD Aug 2001'!AC15+'Expenses-Sep-Dec 2001'!AC15</f>
        <v>9872</v>
      </c>
      <c r="AE15" s="9">
        <f>'Expenses-YTD Aug 2001'!AE15+'Expenses-Sep-Dec 2001'!AE15</f>
        <v>609</v>
      </c>
      <c r="AF15" s="7"/>
      <c r="AG15" s="9">
        <f>'Expenses-YTD Aug 2001'!AG15+'Expenses-Sep-Dec 2001'!AG15</f>
        <v>5</v>
      </c>
      <c r="AH15" s="7"/>
      <c r="AI15" s="9">
        <f>'Expenses-YTD Aug 2001'!AI15+'Expenses-Sep-Dec 2001'!AI15</f>
        <v>7570</v>
      </c>
      <c r="AJ15" s="7"/>
      <c r="AK15" s="9">
        <f>'Expenses-YTD Aug 2001'!AK15+'Expenses-Sep-Dec 2001'!AK15</f>
        <v>6157</v>
      </c>
      <c r="AL15" s="7"/>
      <c r="AM15" s="9">
        <f>'Expenses-YTD Aug 2001'!AM15+'Expenses-Sep-Dec 2001'!AM15</f>
        <v>19227</v>
      </c>
      <c r="AO15" s="2" t="s">
        <v>35</v>
      </c>
    </row>
    <row r="16" spans="1:41">
      <c r="A16" s="1" t="s">
        <v>36</v>
      </c>
      <c r="C16" s="7">
        <f t="shared" si="0"/>
        <v>64383</v>
      </c>
      <c r="D16" s="8"/>
      <c r="E16" s="9">
        <f>'Expenses-YTD Aug 2001'!E16+'Expenses-Sep-Dec 2001'!E16</f>
        <v>10</v>
      </c>
      <c r="F16" s="9"/>
      <c r="G16" s="9">
        <f>'Expenses-YTD Aug 2001'!G16+'Expenses-Sep-Dec 2001'!G16</f>
        <v>14088</v>
      </c>
      <c r="H16" s="7"/>
      <c r="I16" s="9">
        <f>'Expenses-YTD Aug 2001'!I16+'Expenses-Sep-Dec 2001'!I16</f>
        <v>1474</v>
      </c>
      <c r="J16" s="7"/>
      <c r="K16" s="9">
        <f>'Expenses-YTD Aug 2001'!K16+'Expenses-Sep-Dec 2001'!K16</f>
        <v>359</v>
      </c>
      <c r="L16" s="7"/>
      <c r="M16" s="9">
        <f>'Expenses-YTD Aug 2001'!M16+'Expenses-Sep-Dec 2001'!M16</f>
        <v>0</v>
      </c>
      <c r="N16" s="7"/>
      <c r="O16" s="9">
        <f>'Expenses-YTD Aug 2001'!O16+'Expenses-Sep-Dec 2001'!O16</f>
        <v>0</v>
      </c>
      <c r="P16" s="7"/>
      <c r="Q16" s="9">
        <f>'Expenses-YTD Aug 2001'!Q16+'Expenses-Sep-Dec 2001'!Q16</f>
        <v>0</v>
      </c>
      <c r="R16" s="7"/>
      <c r="S16" s="9">
        <f>'Expenses-YTD Aug 2001'!S16+'Expenses-Sep-Dec 2001'!S16</f>
        <v>0</v>
      </c>
      <c r="T16" s="7"/>
      <c r="U16" s="9">
        <f>'Expenses-YTD Aug 2001'!U16+'Expenses-Sep-Dec 2001'!U16</f>
        <v>1485</v>
      </c>
      <c r="W16" s="9">
        <f>'Expenses-YTD Aug 2001'!W16+'Expenses-Sep-Dec 2001'!W16</f>
        <v>122</v>
      </c>
      <c r="Y16" s="9">
        <f>'Expenses-YTD Aug 2001'!Y16+'Expenses-Sep-Dec 2001'!Y16</f>
        <v>1165</v>
      </c>
      <c r="AA16" s="9">
        <f>'Expenses-YTD Aug 2001'!AA16+'Expenses-Sep-Dec 2001'!AA16</f>
        <v>13</v>
      </c>
      <c r="AC16" s="9">
        <f>'Expenses-YTD Aug 2001'!AC16+'Expenses-Sep-Dec 2001'!AC16</f>
        <v>615</v>
      </c>
      <c r="AE16" s="9">
        <f>'Expenses-YTD Aug 2001'!AE16+'Expenses-Sep-Dec 2001'!AE16</f>
        <v>485</v>
      </c>
      <c r="AF16" s="7"/>
      <c r="AG16" s="9">
        <f>'Expenses-YTD Aug 2001'!AG16+'Expenses-Sep-Dec 2001'!AG16</f>
        <v>0</v>
      </c>
      <c r="AH16" s="7"/>
      <c r="AI16" s="9">
        <f>'Expenses-YTD Aug 2001'!AI16+'Expenses-Sep-Dec 2001'!AI16</f>
        <v>228</v>
      </c>
      <c r="AJ16" s="7"/>
      <c r="AK16" s="9">
        <f>'Expenses-YTD Aug 2001'!AK16+'Expenses-Sep-Dec 2001'!AK16</f>
        <v>373</v>
      </c>
      <c r="AL16" s="7"/>
      <c r="AM16" s="9">
        <f>'Expenses-YTD Aug 2001'!AM16+'Expenses-Sep-Dec 2001'!AM16</f>
        <v>43966</v>
      </c>
      <c r="AO16" s="2" t="s">
        <v>37</v>
      </c>
    </row>
    <row r="17" spans="1:41">
      <c r="A17" s="1" t="s">
        <v>38</v>
      </c>
      <c r="C17" s="7">
        <f t="shared" si="0"/>
        <v>1128374</v>
      </c>
      <c r="D17" s="8"/>
      <c r="E17" s="9">
        <f>'Expenses-YTD Aug 2001'!E17+'Expenses-Sep-Dec 2001'!E17</f>
        <v>42764</v>
      </c>
      <c r="F17" s="9"/>
      <c r="G17" s="9">
        <f>'Expenses-YTD Aug 2001'!G17+'Expenses-Sep-Dec 2001'!G17</f>
        <v>31736</v>
      </c>
      <c r="H17" s="7"/>
      <c r="I17" s="9">
        <f>'Expenses-YTD Aug 2001'!I17+'Expenses-Sep-Dec 2001'!I17</f>
        <v>9882</v>
      </c>
      <c r="J17" s="7"/>
      <c r="K17" s="9">
        <f>'Expenses-YTD Aug 2001'!K17+'Expenses-Sep-Dec 2001'!K17</f>
        <v>110501</v>
      </c>
      <c r="L17" s="7"/>
      <c r="M17" s="9">
        <f>'Expenses-YTD Aug 2001'!M17+'Expenses-Sep-Dec 2001'!M17</f>
        <v>18215</v>
      </c>
      <c r="N17" s="7"/>
      <c r="O17" s="9">
        <f>'Expenses-YTD Aug 2001'!O17+'Expenses-Sep-Dec 2001'!O17</f>
        <v>462</v>
      </c>
      <c r="P17" s="7"/>
      <c r="Q17" s="9">
        <f>'Expenses-YTD Aug 2001'!Q17+'Expenses-Sep-Dec 2001'!Q17</f>
        <v>255</v>
      </c>
      <c r="R17" s="7"/>
      <c r="S17" s="9">
        <f>'Expenses-YTD Aug 2001'!S17+'Expenses-Sep-Dec 2001'!S17</f>
        <v>7647</v>
      </c>
      <c r="T17" s="7"/>
      <c r="U17" s="9">
        <f>'Expenses-YTD Aug 2001'!U17+'Expenses-Sep-Dec 2001'!U17</f>
        <v>83368</v>
      </c>
      <c r="W17" s="9">
        <f>'Expenses-YTD Aug 2001'!W17+'Expenses-Sep-Dec 2001'!W17</f>
        <v>16841</v>
      </c>
      <c r="Y17" s="9">
        <f>'Expenses-YTD Aug 2001'!Y17+'Expenses-Sep-Dec 2001'!Y17</f>
        <v>8315</v>
      </c>
      <c r="AA17" s="9">
        <f>'Expenses-YTD Aug 2001'!AA17+'Expenses-Sep-Dec 2001'!AA17</f>
        <v>69880</v>
      </c>
      <c r="AC17" s="9">
        <f>'Expenses-YTD Aug 2001'!AC17+'Expenses-Sep-Dec 2001'!AC17</f>
        <v>249908</v>
      </c>
      <c r="AE17" s="9">
        <f>'Expenses-YTD Aug 2001'!AE17+'Expenses-Sep-Dec 2001'!AE17</f>
        <v>1964</v>
      </c>
      <c r="AF17" s="7"/>
      <c r="AG17" s="9">
        <f>'Expenses-YTD Aug 2001'!AG17+'Expenses-Sep-Dec 2001'!AG17</f>
        <v>1684</v>
      </c>
      <c r="AH17" s="7"/>
      <c r="AI17" s="9">
        <f>'Expenses-YTD Aug 2001'!AI17+'Expenses-Sep-Dec 2001'!AI17</f>
        <v>86697</v>
      </c>
      <c r="AJ17" s="7"/>
      <c r="AK17" s="9">
        <f>'Expenses-YTD Aug 2001'!AK17+'Expenses-Sep-Dec 2001'!AK17</f>
        <v>175820</v>
      </c>
      <c r="AL17" s="7"/>
      <c r="AM17" s="9">
        <f>'Expenses-YTD Aug 2001'!AM17+'Expenses-Sep-Dec 2001'!AM17</f>
        <v>212435</v>
      </c>
      <c r="AO17" s="2" t="s">
        <v>39</v>
      </c>
    </row>
    <row r="18" spans="1:41">
      <c r="A18" s="1" t="s">
        <v>40</v>
      </c>
      <c r="C18" s="7">
        <f t="shared" si="0"/>
        <v>20523</v>
      </c>
      <c r="D18" s="8"/>
      <c r="E18" s="9">
        <f>'Expenses-YTD Aug 2001'!E18+'Expenses-Sep-Dec 2001'!E18</f>
        <v>519</v>
      </c>
      <c r="F18" s="9"/>
      <c r="G18" s="9">
        <f>'Expenses-YTD Aug 2001'!G18+'Expenses-Sep-Dec 2001'!G18</f>
        <v>399</v>
      </c>
      <c r="H18" s="7"/>
      <c r="I18" s="9">
        <f>'Expenses-YTD Aug 2001'!I18+'Expenses-Sep-Dec 2001'!I18</f>
        <v>489</v>
      </c>
      <c r="J18" s="7"/>
      <c r="K18" s="9">
        <f>'Expenses-YTD Aug 2001'!K18+'Expenses-Sep-Dec 2001'!K18</f>
        <v>185</v>
      </c>
      <c r="L18" s="7"/>
      <c r="M18" s="9">
        <f>'Expenses-YTD Aug 2001'!M18+'Expenses-Sep-Dec 2001'!M18</f>
        <v>0</v>
      </c>
      <c r="N18" s="7"/>
      <c r="O18" s="9">
        <f>'Expenses-YTD Aug 2001'!O18+'Expenses-Sep-Dec 2001'!O18</f>
        <v>0</v>
      </c>
      <c r="P18" s="7"/>
      <c r="Q18" s="9">
        <f>'Expenses-YTD Aug 2001'!Q18+'Expenses-Sep-Dec 2001'!Q18</f>
        <v>1</v>
      </c>
      <c r="R18" s="7"/>
      <c r="S18" s="9">
        <f>'Expenses-YTD Aug 2001'!S18+'Expenses-Sep-Dec 2001'!S18</f>
        <v>0</v>
      </c>
      <c r="T18" s="7"/>
      <c r="U18" s="9">
        <f>'Expenses-YTD Aug 2001'!U18+'Expenses-Sep-Dec 2001'!U18</f>
        <v>955</v>
      </c>
      <c r="W18" s="9">
        <f>'Expenses-YTD Aug 2001'!W18+'Expenses-Sep-Dec 2001'!W18</f>
        <v>71</v>
      </c>
      <c r="Y18" s="9">
        <f>'Expenses-YTD Aug 2001'!Y18+'Expenses-Sep-Dec 2001'!Y18</f>
        <v>4</v>
      </c>
      <c r="AA18" s="9">
        <f>'Expenses-YTD Aug 2001'!AA18+'Expenses-Sep-Dec 2001'!AA18</f>
        <v>54</v>
      </c>
      <c r="AC18" s="9">
        <f>'Expenses-YTD Aug 2001'!AC18+'Expenses-Sep-Dec 2001'!AC18</f>
        <v>13782</v>
      </c>
      <c r="AE18" s="9">
        <f>'Expenses-YTD Aug 2001'!AE18+'Expenses-Sep-Dec 2001'!AE18</f>
        <v>20</v>
      </c>
      <c r="AF18" s="7"/>
      <c r="AG18" s="9">
        <f>'Expenses-YTD Aug 2001'!AG18+'Expenses-Sep-Dec 2001'!AG18</f>
        <v>15</v>
      </c>
      <c r="AH18" s="7"/>
      <c r="AI18" s="9">
        <f>'Expenses-YTD Aug 2001'!AI18+'Expenses-Sep-Dec 2001'!AI18</f>
        <v>715</v>
      </c>
      <c r="AJ18" s="7"/>
      <c r="AK18" s="9">
        <f>'Expenses-YTD Aug 2001'!AK18+'Expenses-Sep-Dec 2001'!AK18</f>
        <v>1024</v>
      </c>
      <c r="AL18" s="7"/>
      <c r="AM18" s="9">
        <f>'Expenses-YTD Aug 2001'!AM18+'Expenses-Sep-Dec 2001'!AM18</f>
        <v>2290</v>
      </c>
      <c r="AO18" s="2" t="s">
        <v>41</v>
      </c>
    </row>
    <row r="19" spans="1:41">
      <c r="A19" s="1" t="s">
        <v>42</v>
      </c>
      <c r="C19" s="7">
        <f t="shared" si="0"/>
        <v>20449</v>
      </c>
      <c r="D19" s="8"/>
      <c r="E19" s="9">
        <f>'Expenses-YTD Aug 2001'!E19+'Expenses-Sep-Dec 2001'!E19</f>
        <v>98</v>
      </c>
      <c r="F19" s="9"/>
      <c r="G19" s="9">
        <f>'Expenses-YTD Aug 2001'!G19+'Expenses-Sep-Dec 2001'!G19</f>
        <v>62</v>
      </c>
      <c r="H19" s="7"/>
      <c r="I19" s="9">
        <f>'Expenses-YTD Aug 2001'!I19+'Expenses-Sep-Dec 2001'!I19</f>
        <v>157</v>
      </c>
      <c r="J19" s="7"/>
      <c r="K19" s="9">
        <f>'Expenses-YTD Aug 2001'!K19+'Expenses-Sep-Dec 2001'!K19</f>
        <v>947</v>
      </c>
      <c r="L19" s="7"/>
      <c r="M19" s="9">
        <f>'Expenses-YTD Aug 2001'!M19+'Expenses-Sep-Dec 2001'!M19</f>
        <v>17</v>
      </c>
      <c r="N19" s="7"/>
      <c r="O19" s="9">
        <f>'Expenses-YTD Aug 2001'!O19+'Expenses-Sep-Dec 2001'!O19</f>
        <v>6</v>
      </c>
      <c r="P19" s="7"/>
      <c r="Q19" s="9">
        <f>'Expenses-YTD Aug 2001'!Q19+'Expenses-Sep-Dec 2001'!Q19</f>
        <v>28</v>
      </c>
      <c r="R19" s="7"/>
      <c r="S19" s="9">
        <f>'Expenses-YTD Aug 2001'!S19+'Expenses-Sep-Dec 2001'!S19</f>
        <v>0</v>
      </c>
      <c r="T19" s="7"/>
      <c r="U19" s="9">
        <f>'Expenses-YTD Aug 2001'!U19+'Expenses-Sep-Dec 2001'!U19</f>
        <v>6328</v>
      </c>
      <c r="W19" s="9">
        <f>'Expenses-YTD Aug 2001'!W19+'Expenses-Sep-Dec 2001'!W19</f>
        <v>773</v>
      </c>
      <c r="Y19" s="9">
        <f>'Expenses-YTD Aug 2001'!Y19+'Expenses-Sep-Dec 2001'!Y19</f>
        <v>192</v>
      </c>
      <c r="AA19" s="9">
        <f>'Expenses-YTD Aug 2001'!AA19+'Expenses-Sep-Dec 2001'!AA19</f>
        <v>9202</v>
      </c>
      <c r="AC19" s="9">
        <f>'Expenses-YTD Aug 2001'!AC19+'Expenses-Sep-Dec 2001'!AC19</f>
        <v>110</v>
      </c>
      <c r="AE19" s="9">
        <f>'Expenses-YTD Aug 2001'!AE19+'Expenses-Sep-Dec 2001'!AE19</f>
        <v>6</v>
      </c>
      <c r="AF19" s="7"/>
      <c r="AG19" s="9">
        <f>'Expenses-YTD Aug 2001'!AG19+'Expenses-Sep-Dec 2001'!AG19</f>
        <v>4</v>
      </c>
      <c r="AH19" s="7"/>
      <c r="AI19" s="9">
        <f>'Expenses-YTD Aug 2001'!AI19+'Expenses-Sep-Dec 2001'!AI19</f>
        <v>1421</v>
      </c>
      <c r="AJ19" s="7"/>
      <c r="AK19" s="9">
        <f>'Expenses-YTD Aug 2001'!AK19+'Expenses-Sep-Dec 2001'!AK19</f>
        <v>280</v>
      </c>
      <c r="AL19" s="7"/>
      <c r="AM19" s="9">
        <f>'Expenses-YTD Aug 2001'!AM19+'Expenses-Sep-Dec 2001'!AM19</f>
        <v>818</v>
      </c>
      <c r="AO19" s="2" t="s">
        <v>43</v>
      </c>
    </row>
    <row r="20" spans="1:41">
      <c r="A20" s="1" t="s">
        <v>44</v>
      </c>
      <c r="C20" s="7">
        <f t="shared" si="0"/>
        <v>715997</v>
      </c>
      <c r="D20" s="8"/>
      <c r="E20" s="9">
        <f>'Expenses-YTD Aug 2001'!E20+'Expenses-Sep-Dec 2001'!E20</f>
        <v>44245</v>
      </c>
      <c r="F20" s="9"/>
      <c r="G20" s="9">
        <f>'Expenses-YTD Aug 2001'!G20+'Expenses-Sep-Dec 2001'!G20</f>
        <v>50</v>
      </c>
      <c r="H20" s="7"/>
      <c r="I20" s="9">
        <f>'Expenses-YTD Aug 2001'!I20+'Expenses-Sep-Dec 2001'!I20</f>
        <v>1</v>
      </c>
      <c r="J20" s="7"/>
      <c r="K20" s="9">
        <f>'Expenses-YTD Aug 2001'!K20+'Expenses-Sep-Dec 2001'!K20</f>
        <v>3637</v>
      </c>
      <c r="L20" s="7"/>
      <c r="M20" s="9">
        <f>'Expenses-YTD Aug 2001'!M20+'Expenses-Sep-Dec 2001'!M20</f>
        <v>16</v>
      </c>
      <c r="N20" s="7"/>
      <c r="O20" s="9">
        <f>'Expenses-YTD Aug 2001'!O20+'Expenses-Sep-Dec 2001'!O20</f>
        <v>0</v>
      </c>
      <c r="P20" s="7"/>
      <c r="Q20" s="9">
        <f>'Expenses-YTD Aug 2001'!Q20+'Expenses-Sep-Dec 2001'!Q20</f>
        <v>7</v>
      </c>
      <c r="R20" s="7"/>
      <c r="S20" s="9">
        <f>'Expenses-YTD Aug 2001'!S20+'Expenses-Sep-Dec 2001'!S20</f>
        <v>1</v>
      </c>
      <c r="T20" s="7"/>
      <c r="U20" s="9">
        <f>'Expenses-YTD Aug 2001'!U20+'Expenses-Sep-Dec 2001'!U20</f>
        <v>498</v>
      </c>
      <c r="W20" s="9">
        <f>'Expenses-YTD Aug 2001'!W20+'Expenses-Sep-Dec 2001'!W20</f>
        <v>-5243</v>
      </c>
      <c r="Y20" s="9">
        <f>'Expenses-YTD Aug 2001'!Y20+'Expenses-Sep-Dec 2001'!Y20</f>
        <v>130</v>
      </c>
      <c r="AA20" s="9">
        <f>'Expenses-YTD Aug 2001'!AA20+'Expenses-Sep-Dec 2001'!AA20</f>
        <v>1193</v>
      </c>
      <c r="AC20" s="9">
        <f>'Expenses-YTD Aug 2001'!AC20+'Expenses-Sep-Dec 2001'!AC20</f>
        <v>666555</v>
      </c>
      <c r="AE20" s="9">
        <f>'Expenses-YTD Aug 2001'!AE20+'Expenses-Sep-Dec 2001'!AE20</f>
        <v>13</v>
      </c>
      <c r="AF20" s="7"/>
      <c r="AG20" s="9">
        <f>'Expenses-YTD Aug 2001'!AG20+'Expenses-Sep-Dec 2001'!AG20</f>
        <v>7</v>
      </c>
      <c r="AH20" s="7"/>
      <c r="AI20" s="9">
        <f>'Expenses-YTD Aug 2001'!AI20+'Expenses-Sep-Dec 2001'!AI20</f>
        <v>-24874</v>
      </c>
      <c r="AJ20" s="7"/>
      <c r="AK20" s="9">
        <f>'Expenses-YTD Aug 2001'!AK20+'Expenses-Sep-Dec 2001'!AK20</f>
        <v>10682</v>
      </c>
      <c r="AL20" s="7"/>
      <c r="AM20" s="9">
        <f>'Expenses-YTD Aug 2001'!AM20+'Expenses-Sep-Dec 2001'!AM20</f>
        <v>19079</v>
      </c>
      <c r="AO20" s="2" t="s">
        <v>45</v>
      </c>
    </row>
    <row r="21" spans="1:41">
      <c r="A21" s="1" t="s">
        <v>46</v>
      </c>
      <c r="C21" s="7">
        <f t="shared" si="0"/>
        <v>23681</v>
      </c>
      <c r="D21" s="8"/>
      <c r="E21" s="9">
        <f>'Expenses-YTD Aug 2001'!E21+'Expenses-Sep-Dec 2001'!E21</f>
        <v>603</v>
      </c>
      <c r="F21" s="9"/>
      <c r="G21" s="9">
        <f>'Expenses-YTD Aug 2001'!G21+'Expenses-Sep-Dec 2001'!G21</f>
        <v>-194</v>
      </c>
      <c r="H21" s="7"/>
      <c r="I21" s="9">
        <f>'Expenses-YTD Aug 2001'!I21+'Expenses-Sep-Dec 2001'!I21</f>
        <v>456</v>
      </c>
      <c r="J21" s="7"/>
      <c r="K21" s="9">
        <f>'Expenses-YTD Aug 2001'!K21+'Expenses-Sep-Dec 2001'!K21</f>
        <v>1199</v>
      </c>
      <c r="L21" s="7"/>
      <c r="M21" s="9">
        <f>'Expenses-YTD Aug 2001'!M21+'Expenses-Sep-Dec 2001'!M21</f>
        <v>85</v>
      </c>
      <c r="N21" s="7"/>
      <c r="O21" s="9">
        <f>'Expenses-YTD Aug 2001'!O21+'Expenses-Sep-Dec 2001'!O21</f>
        <v>3</v>
      </c>
      <c r="P21" s="7"/>
      <c r="Q21" s="9">
        <f>'Expenses-YTD Aug 2001'!Q21+'Expenses-Sep-Dec 2001'!Q21</f>
        <v>54</v>
      </c>
      <c r="R21" s="7"/>
      <c r="S21" s="9">
        <f>'Expenses-YTD Aug 2001'!S21+'Expenses-Sep-Dec 2001'!S21</f>
        <v>5</v>
      </c>
      <c r="T21" s="7"/>
      <c r="U21" s="9">
        <f>'Expenses-YTD Aug 2001'!U21+'Expenses-Sep-Dec 2001'!U21</f>
        <v>10637</v>
      </c>
      <c r="W21" s="9">
        <f>'Expenses-YTD Aug 2001'!W21+'Expenses-Sep-Dec 2001'!W21</f>
        <v>691</v>
      </c>
      <c r="Y21" s="9">
        <f>'Expenses-YTD Aug 2001'!Y21+'Expenses-Sep-Dec 2001'!Y21</f>
        <v>130</v>
      </c>
      <c r="AA21" s="9">
        <f>'Expenses-YTD Aug 2001'!AA21+'Expenses-Sep-Dec 2001'!AA21</f>
        <v>805</v>
      </c>
      <c r="AC21" s="9">
        <f>'Expenses-YTD Aug 2001'!AC21+'Expenses-Sep-Dec 2001'!AC21</f>
        <v>1516</v>
      </c>
      <c r="AE21" s="9">
        <f>'Expenses-YTD Aug 2001'!AE21+'Expenses-Sep-Dec 2001'!AE21</f>
        <v>106</v>
      </c>
      <c r="AF21" s="7"/>
      <c r="AG21" s="9">
        <f>'Expenses-YTD Aug 2001'!AG21+'Expenses-Sep-Dec 2001'!AG21</f>
        <v>69</v>
      </c>
      <c r="AH21" s="7"/>
      <c r="AI21" s="9">
        <f>'Expenses-YTD Aug 2001'!AI21+'Expenses-Sep-Dec 2001'!AI21</f>
        <v>880</v>
      </c>
      <c r="AJ21" s="7"/>
      <c r="AK21" s="9">
        <f>'Expenses-YTD Aug 2001'!AK21+'Expenses-Sep-Dec 2001'!AK21</f>
        <v>4276</v>
      </c>
      <c r="AL21" s="7"/>
      <c r="AM21" s="9">
        <f>'Expenses-YTD Aug 2001'!AM21+'Expenses-Sep-Dec 2001'!AM21</f>
        <v>2360</v>
      </c>
      <c r="AO21" s="2" t="s">
        <v>47</v>
      </c>
    </row>
    <row r="22" spans="1:41">
      <c r="A22" s="1" t="s">
        <v>48</v>
      </c>
      <c r="C22" s="7">
        <f t="shared" si="0"/>
        <v>129045</v>
      </c>
      <c r="D22" s="8"/>
      <c r="E22" s="9">
        <f>'Expenses-YTD Aug 2001'!E22+'Expenses-Sep-Dec 2001'!E22</f>
        <v>6706</v>
      </c>
      <c r="F22" s="9"/>
      <c r="G22" s="9">
        <f>'Expenses-YTD Aug 2001'!G22+'Expenses-Sep-Dec 2001'!G22</f>
        <v>3684</v>
      </c>
      <c r="H22" s="7"/>
      <c r="I22" s="9">
        <f>'Expenses-YTD Aug 2001'!I22+'Expenses-Sep-Dec 2001'!I22</f>
        <v>2708</v>
      </c>
      <c r="J22" s="7"/>
      <c r="K22" s="9">
        <f>'Expenses-YTD Aug 2001'!K22+'Expenses-Sep-Dec 2001'!K22</f>
        <v>2145</v>
      </c>
      <c r="L22" s="7"/>
      <c r="M22" s="9">
        <f>'Expenses-YTD Aug 2001'!M22+'Expenses-Sep-Dec 2001'!M22</f>
        <v>0</v>
      </c>
      <c r="N22" s="7"/>
      <c r="O22" s="9">
        <f>'Expenses-YTD Aug 2001'!O22+'Expenses-Sep-Dec 2001'!O22</f>
        <v>20</v>
      </c>
      <c r="P22" s="7"/>
      <c r="Q22" s="9">
        <f>'Expenses-YTD Aug 2001'!Q22+'Expenses-Sep-Dec 2001'!Q22</f>
        <v>1</v>
      </c>
      <c r="R22" s="7"/>
      <c r="S22" s="9">
        <f>'Expenses-YTD Aug 2001'!S22+'Expenses-Sep-Dec 2001'!S22</f>
        <v>0</v>
      </c>
      <c r="T22" s="7"/>
      <c r="U22" s="9">
        <f>'Expenses-YTD Aug 2001'!U22+'Expenses-Sep-Dec 2001'!U22</f>
        <v>7529</v>
      </c>
      <c r="W22" s="9">
        <f>'Expenses-YTD Aug 2001'!W22+'Expenses-Sep-Dec 2001'!W22</f>
        <v>1913</v>
      </c>
      <c r="Y22" s="9">
        <f>'Expenses-YTD Aug 2001'!Y22+'Expenses-Sep-Dec 2001'!Y22</f>
        <v>24</v>
      </c>
      <c r="AA22" s="9">
        <f>'Expenses-YTD Aug 2001'!AA22+'Expenses-Sep-Dec 2001'!AA22</f>
        <v>81</v>
      </c>
      <c r="AC22" s="9">
        <f>'Expenses-YTD Aug 2001'!AC22+'Expenses-Sep-Dec 2001'!AC22</f>
        <v>16908</v>
      </c>
      <c r="AE22" s="9">
        <f>'Expenses-YTD Aug 2001'!AE22+'Expenses-Sep-Dec 2001'!AE22</f>
        <v>398</v>
      </c>
      <c r="AF22" s="7"/>
      <c r="AG22" s="9">
        <f>'Expenses-YTD Aug 2001'!AG22+'Expenses-Sep-Dec 2001'!AG22</f>
        <v>277</v>
      </c>
      <c r="AH22" s="7"/>
      <c r="AI22" s="9">
        <f>'Expenses-YTD Aug 2001'!AI22+'Expenses-Sep-Dec 2001'!AI22</f>
        <v>16718</v>
      </c>
      <c r="AJ22" s="7"/>
      <c r="AK22" s="9">
        <f>'Expenses-YTD Aug 2001'!AK22+'Expenses-Sep-Dec 2001'!AK22</f>
        <v>6855</v>
      </c>
      <c r="AL22" s="7"/>
      <c r="AM22" s="9">
        <f>'Expenses-YTD Aug 2001'!AM22+'Expenses-Sep-Dec 2001'!AM22</f>
        <v>63078</v>
      </c>
      <c r="AO22" s="2" t="s">
        <v>49</v>
      </c>
    </row>
    <row r="23" spans="1:41">
      <c r="A23" s="1" t="s">
        <v>50</v>
      </c>
      <c r="C23" s="7">
        <f t="shared" si="0"/>
        <v>15530</v>
      </c>
      <c r="D23" s="8"/>
      <c r="E23" s="9">
        <f>'Expenses-YTD Aug 2001'!E23+'Expenses-Sep-Dec 2001'!E23</f>
        <v>9103</v>
      </c>
      <c r="F23" s="9"/>
      <c r="G23" s="9">
        <f>'Expenses-YTD Aug 2001'!G23+'Expenses-Sep-Dec 2001'!G23</f>
        <v>278</v>
      </c>
      <c r="H23" s="7"/>
      <c r="I23" s="9">
        <f>'Expenses-YTD Aug 2001'!I23+'Expenses-Sep-Dec 2001'!I23</f>
        <v>381</v>
      </c>
      <c r="J23" s="7"/>
      <c r="K23" s="9">
        <f>'Expenses-YTD Aug 2001'!K23+'Expenses-Sep-Dec 2001'!K23</f>
        <v>1150</v>
      </c>
      <c r="L23" s="7"/>
      <c r="M23" s="9">
        <f>'Expenses-YTD Aug 2001'!M23+'Expenses-Sep-Dec 2001'!M23</f>
        <v>0</v>
      </c>
      <c r="N23" s="7"/>
      <c r="O23" s="9">
        <f>'Expenses-YTD Aug 2001'!O23+'Expenses-Sep-Dec 2001'!O23</f>
        <v>0</v>
      </c>
      <c r="P23" s="7"/>
      <c r="Q23" s="9">
        <f>'Expenses-YTD Aug 2001'!Q23+'Expenses-Sep-Dec 2001'!Q23</f>
        <v>6</v>
      </c>
      <c r="R23" s="7"/>
      <c r="S23" s="9">
        <f>'Expenses-YTD Aug 2001'!S23+'Expenses-Sep-Dec 2001'!S23</f>
        <v>0</v>
      </c>
      <c r="T23" s="7"/>
      <c r="U23" s="9">
        <f>'Expenses-YTD Aug 2001'!U23+'Expenses-Sep-Dec 2001'!U23</f>
        <v>1050</v>
      </c>
      <c r="W23" s="9">
        <f>'Expenses-YTD Aug 2001'!W23+'Expenses-Sep-Dec 2001'!W23</f>
        <v>15</v>
      </c>
      <c r="Y23" s="9">
        <f>'Expenses-YTD Aug 2001'!Y23+'Expenses-Sep-Dec 2001'!Y23</f>
        <v>19</v>
      </c>
      <c r="AA23" s="9">
        <f>'Expenses-YTD Aug 2001'!AA23+'Expenses-Sep-Dec 2001'!AA23</f>
        <v>1</v>
      </c>
      <c r="AC23" s="9">
        <f>'Expenses-YTD Aug 2001'!AC23+'Expenses-Sep-Dec 2001'!AC23</f>
        <v>329</v>
      </c>
      <c r="AE23" s="9">
        <f>'Expenses-YTD Aug 2001'!AE23+'Expenses-Sep-Dec 2001'!AE23</f>
        <v>0</v>
      </c>
      <c r="AF23" s="7"/>
      <c r="AG23" s="9">
        <f>'Expenses-YTD Aug 2001'!AG23+'Expenses-Sep-Dec 2001'!AG23</f>
        <v>0</v>
      </c>
      <c r="AH23" s="7"/>
      <c r="AI23" s="9">
        <f>'Expenses-YTD Aug 2001'!AI23+'Expenses-Sep-Dec 2001'!AI23</f>
        <v>35</v>
      </c>
      <c r="AJ23" s="7"/>
      <c r="AK23" s="9">
        <f>'Expenses-YTD Aug 2001'!AK23+'Expenses-Sep-Dec 2001'!AK23</f>
        <v>431</v>
      </c>
      <c r="AL23" s="7"/>
      <c r="AM23" s="9">
        <f>'Expenses-YTD Aug 2001'!AM23+'Expenses-Sep-Dec 2001'!AM23</f>
        <v>2732</v>
      </c>
      <c r="AO23" s="2" t="s">
        <v>51</v>
      </c>
    </row>
    <row r="24" spans="1:41">
      <c r="A24" s="1" t="s">
        <v>52</v>
      </c>
      <c r="C24" s="7">
        <f t="shared" si="0"/>
        <v>28500</v>
      </c>
      <c r="D24" s="8"/>
      <c r="E24" s="9">
        <f>'Expenses-YTD Aug 2001'!E24+'Expenses-Sep-Dec 2001'!E24</f>
        <v>20139</v>
      </c>
      <c r="F24" s="9"/>
      <c r="G24" s="9">
        <f>'Expenses-YTD Aug 2001'!G24+'Expenses-Sep-Dec 2001'!G24</f>
        <v>0</v>
      </c>
      <c r="H24" s="7"/>
      <c r="I24" s="9">
        <f>'Expenses-YTD Aug 2001'!I24+'Expenses-Sep-Dec 2001'!I24</f>
        <v>0</v>
      </c>
      <c r="J24" s="7"/>
      <c r="K24" s="9">
        <f>'Expenses-YTD Aug 2001'!K24+'Expenses-Sep-Dec 2001'!K24</f>
        <v>1617</v>
      </c>
      <c r="L24" s="7"/>
      <c r="M24" s="9">
        <f>'Expenses-YTD Aug 2001'!M24+'Expenses-Sep-Dec 2001'!M24</f>
        <v>0</v>
      </c>
      <c r="N24" s="7"/>
      <c r="O24" s="9">
        <f>'Expenses-YTD Aug 2001'!O24+'Expenses-Sep-Dec 2001'!O24</f>
        <v>0</v>
      </c>
      <c r="P24" s="7"/>
      <c r="Q24" s="9">
        <f>'Expenses-YTD Aug 2001'!Q24+'Expenses-Sep-Dec 2001'!Q24</f>
        <v>0</v>
      </c>
      <c r="R24" s="7"/>
      <c r="S24" s="9">
        <f>'Expenses-YTD Aug 2001'!S24+'Expenses-Sep-Dec 2001'!S24</f>
        <v>0</v>
      </c>
      <c r="T24" s="7"/>
      <c r="U24" s="9">
        <f>'Expenses-YTD Aug 2001'!U24+'Expenses-Sep-Dec 2001'!U24</f>
        <v>0</v>
      </c>
      <c r="W24" s="9">
        <f>'Expenses-YTD Aug 2001'!W24+'Expenses-Sep-Dec 2001'!W24</f>
        <v>0</v>
      </c>
      <c r="Y24" s="9">
        <f>'Expenses-YTD Aug 2001'!Y24+'Expenses-Sep-Dec 2001'!Y24</f>
        <v>0</v>
      </c>
      <c r="AA24" s="9">
        <f>'Expenses-YTD Aug 2001'!AA24+'Expenses-Sep-Dec 2001'!AA24</f>
        <v>0</v>
      </c>
      <c r="AC24" s="9">
        <f>'Expenses-YTD Aug 2001'!AC24+'Expenses-Sep-Dec 2001'!AC24</f>
        <v>0</v>
      </c>
      <c r="AE24" s="9">
        <f>'Expenses-YTD Aug 2001'!AE24+'Expenses-Sep-Dec 2001'!AE24</f>
        <v>0</v>
      </c>
      <c r="AF24" s="7"/>
      <c r="AG24" s="9">
        <f>'Expenses-YTD Aug 2001'!AG24+'Expenses-Sep-Dec 2001'!AG24</f>
        <v>0</v>
      </c>
      <c r="AH24" s="7"/>
      <c r="AI24" s="9">
        <f>'Expenses-YTD Aug 2001'!AI24+'Expenses-Sep-Dec 2001'!AI24</f>
        <v>227</v>
      </c>
      <c r="AJ24" s="7"/>
      <c r="AK24" s="9">
        <f>'Expenses-YTD Aug 2001'!AK24+'Expenses-Sep-Dec 2001'!AK24</f>
        <v>0</v>
      </c>
      <c r="AL24" s="7"/>
      <c r="AM24" s="9">
        <f>'Expenses-YTD Aug 2001'!AM24+'Expenses-Sep-Dec 2001'!AM24</f>
        <v>6517</v>
      </c>
      <c r="AO24" s="2" t="s">
        <v>53</v>
      </c>
    </row>
    <row r="25" spans="1:41">
      <c r="A25" s="1" t="s">
        <v>54</v>
      </c>
      <c r="C25" s="7">
        <f t="shared" si="0"/>
        <v>19726</v>
      </c>
      <c r="D25" s="8"/>
      <c r="E25" s="9">
        <f>'Expenses-YTD Aug 2001'!E25+'Expenses-Sep-Dec 2001'!E25</f>
        <v>2100</v>
      </c>
      <c r="F25" s="9"/>
      <c r="G25" s="9">
        <f>'Expenses-YTD Aug 2001'!G25+'Expenses-Sep-Dec 2001'!G25</f>
        <v>127</v>
      </c>
      <c r="H25" s="7"/>
      <c r="I25" s="9">
        <f>'Expenses-YTD Aug 2001'!I25+'Expenses-Sep-Dec 2001'!I25</f>
        <v>1770</v>
      </c>
      <c r="J25" s="7"/>
      <c r="K25" s="9">
        <f>'Expenses-YTD Aug 2001'!K25+'Expenses-Sep-Dec 2001'!K25</f>
        <v>1329</v>
      </c>
      <c r="L25" s="7"/>
      <c r="M25" s="9">
        <f>'Expenses-YTD Aug 2001'!M25+'Expenses-Sep-Dec 2001'!M25</f>
        <v>1</v>
      </c>
      <c r="N25" s="7"/>
      <c r="O25" s="9">
        <f>'Expenses-YTD Aug 2001'!O25+'Expenses-Sep-Dec 2001'!O25</f>
        <v>0</v>
      </c>
      <c r="P25" s="7"/>
      <c r="Q25" s="9">
        <f>'Expenses-YTD Aug 2001'!Q25+'Expenses-Sep-Dec 2001'!Q25</f>
        <v>0</v>
      </c>
      <c r="R25" s="7"/>
      <c r="S25" s="9">
        <f>'Expenses-YTD Aug 2001'!S25+'Expenses-Sep-Dec 2001'!S25</f>
        <v>0</v>
      </c>
      <c r="T25" s="7"/>
      <c r="U25" s="9">
        <f>'Expenses-YTD Aug 2001'!U25+'Expenses-Sep-Dec 2001'!U25</f>
        <v>7109</v>
      </c>
      <c r="W25" s="9">
        <f>'Expenses-YTD Aug 2001'!W25+'Expenses-Sep-Dec 2001'!W25</f>
        <v>87</v>
      </c>
      <c r="Y25" s="9">
        <f>'Expenses-YTD Aug 2001'!Y25+'Expenses-Sep-Dec 2001'!Y25</f>
        <v>7</v>
      </c>
      <c r="AA25" s="9">
        <f>'Expenses-YTD Aug 2001'!AA25+'Expenses-Sep-Dec 2001'!AA25</f>
        <v>190</v>
      </c>
      <c r="AC25" s="9">
        <f>'Expenses-YTD Aug 2001'!AC25+'Expenses-Sep-Dec 2001'!AC25</f>
        <v>1910</v>
      </c>
      <c r="AE25" s="9">
        <f>'Expenses-YTD Aug 2001'!AE25+'Expenses-Sep-Dec 2001'!AE25</f>
        <v>60</v>
      </c>
      <c r="AF25" s="7"/>
      <c r="AG25" s="9">
        <f>'Expenses-YTD Aug 2001'!AG25+'Expenses-Sep-Dec 2001'!AG25</f>
        <v>0</v>
      </c>
      <c r="AH25" s="7"/>
      <c r="AI25" s="9">
        <f>'Expenses-YTD Aug 2001'!AI25+'Expenses-Sep-Dec 2001'!AI25</f>
        <v>1275</v>
      </c>
      <c r="AJ25" s="7"/>
      <c r="AK25" s="9">
        <f>'Expenses-YTD Aug 2001'!AK25+'Expenses-Sep-Dec 2001'!AK25</f>
        <v>1679</v>
      </c>
      <c r="AL25" s="7"/>
      <c r="AM25" s="9">
        <f>'Expenses-YTD Aug 2001'!AM25+'Expenses-Sep-Dec 2001'!AM25</f>
        <v>2082</v>
      </c>
      <c r="AO25" s="2" t="s">
        <v>55</v>
      </c>
    </row>
    <row r="26" spans="1:41">
      <c r="A26" s="1" t="s">
        <v>12</v>
      </c>
      <c r="C26" s="7">
        <f t="shared" si="0"/>
        <v>120642</v>
      </c>
      <c r="D26" s="8"/>
      <c r="E26" s="9">
        <f>'Expenses-YTD Aug 2001'!E26+'Expenses-Sep-Dec 2001'!E26</f>
        <v>-30984</v>
      </c>
      <c r="F26" s="9"/>
      <c r="G26" s="9">
        <f>'Expenses-YTD Aug 2001'!G26+'Expenses-Sep-Dec 2001'!G26</f>
        <v>51872</v>
      </c>
      <c r="H26" s="7"/>
      <c r="I26" s="9">
        <f>'Expenses-YTD Aug 2001'!I26+'Expenses-Sep-Dec 2001'!I26</f>
        <v>-9328</v>
      </c>
      <c r="J26" s="7"/>
      <c r="K26" s="9">
        <f>'Expenses-YTD Aug 2001'!K26+'Expenses-Sep-Dec 2001'!K26</f>
        <v>89314</v>
      </c>
      <c r="L26" s="7"/>
      <c r="M26" s="9">
        <f>'Expenses-YTD Aug 2001'!M26+'Expenses-Sep-Dec 2001'!M26</f>
        <v>665</v>
      </c>
      <c r="N26" s="7"/>
      <c r="O26" s="9">
        <f>'Expenses-YTD Aug 2001'!O26+'Expenses-Sep-Dec 2001'!O26</f>
        <v>15</v>
      </c>
      <c r="P26" s="7"/>
      <c r="Q26" s="9">
        <f>'Expenses-YTD Aug 2001'!Q26+'Expenses-Sep-Dec 2001'!Q26</f>
        <v>812</v>
      </c>
      <c r="R26" s="7"/>
      <c r="S26" s="9">
        <f>'Expenses-YTD Aug 2001'!S26+'Expenses-Sep-Dec 2001'!S26</f>
        <v>0</v>
      </c>
      <c r="T26" s="7"/>
      <c r="U26" s="9">
        <f>'Expenses-YTD Aug 2001'!U26+'Expenses-Sep-Dec 2001'!U26</f>
        <v>17515</v>
      </c>
      <c r="W26" s="9">
        <f>'Expenses-YTD Aug 2001'!W26+'Expenses-Sep-Dec 2001'!W26</f>
        <v>-1606</v>
      </c>
      <c r="Y26" s="9">
        <f>'Expenses-YTD Aug 2001'!Y26+'Expenses-Sep-Dec 2001'!Y26</f>
        <v>-9372</v>
      </c>
      <c r="AA26" s="9">
        <f>'Expenses-YTD Aug 2001'!AA26+'Expenses-Sep-Dec 2001'!AA26</f>
        <v>12978</v>
      </c>
      <c r="AC26" s="9">
        <f>'Expenses-YTD Aug 2001'!AC26+'Expenses-Sep-Dec 2001'!AC26</f>
        <v>12816</v>
      </c>
      <c r="AE26" s="9">
        <f>'Expenses-YTD Aug 2001'!AE26+'Expenses-Sep-Dec 2001'!AE26</f>
        <v>-2013</v>
      </c>
      <c r="AF26" s="7"/>
      <c r="AG26" s="9">
        <f>'Expenses-YTD Aug 2001'!AG26+'Expenses-Sep-Dec 2001'!AG26</f>
        <v>-15022</v>
      </c>
      <c r="AH26" s="7"/>
      <c r="AI26" s="9">
        <f>'Expenses-YTD Aug 2001'!AI26+'Expenses-Sep-Dec 2001'!AI26</f>
        <v>1948</v>
      </c>
      <c r="AJ26" s="7"/>
      <c r="AK26" s="9">
        <f>'Expenses-YTD Aug 2001'!AK26+'Expenses-Sep-Dec 2001'!AK26</f>
        <v>8984</v>
      </c>
      <c r="AL26" s="7"/>
      <c r="AM26" s="9">
        <f>'Expenses-YTD Aug 2001'!AM26+'Expenses-Sep-Dec 2001'!AM26</f>
        <v>-7952</v>
      </c>
      <c r="AO26" s="2" t="s">
        <v>56</v>
      </c>
    </row>
    <row r="27" spans="1:41">
      <c r="A27" s="1" t="s">
        <v>57</v>
      </c>
      <c r="C27" s="7">
        <f t="shared" si="0"/>
        <v>-24832</v>
      </c>
      <c r="D27" s="8"/>
      <c r="E27" s="9">
        <f>'Expenses-YTD Aug 2001'!E27+'Expenses-Sep-Dec 2001'!E27</f>
        <v>13752</v>
      </c>
      <c r="F27" s="10"/>
      <c r="G27" s="9">
        <f>'Expenses-YTD Aug 2001'!G27+'Expenses-Sep-Dec 2001'!G27</f>
        <v>20504</v>
      </c>
      <c r="H27" s="7"/>
      <c r="I27" s="9">
        <f>'Expenses-YTD Aug 2001'!I27+'Expenses-Sep-Dec 2001'!I27</f>
        <v>523</v>
      </c>
      <c r="J27" s="7"/>
      <c r="K27" s="9">
        <f>'Expenses-YTD Aug 2001'!K27+'Expenses-Sep-Dec 2001'!K27</f>
        <v>130495</v>
      </c>
      <c r="L27" s="7"/>
      <c r="M27" s="9">
        <f>'Expenses-YTD Aug 2001'!M27+'Expenses-Sep-Dec 2001'!M27</f>
        <v>-3786</v>
      </c>
      <c r="N27" s="7"/>
      <c r="O27" s="9">
        <f>'Expenses-YTD Aug 2001'!O27+'Expenses-Sep-Dec 2001'!O27</f>
        <v>1447</v>
      </c>
      <c r="P27" s="7"/>
      <c r="Q27" s="9">
        <f>'Expenses-YTD Aug 2001'!Q27+'Expenses-Sep-Dec 2001'!Q27</f>
        <v>14511</v>
      </c>
      <c r="R27" s="7"/>
      <c r="S27" s="9">
        <f>'Expenses-YTD Aug 2001'!S27+'Expenses-Sep-Dec 2001'!S27</f>
        <v>184</v>
      </c>
      <c r="T27" s="7"/>
      <c r="U27" s="9">
        <f>'Expenses-YTD Aug 2001'!U27+'Expenses-Sep-Dec 2001'!U27</f>
        <v>-26811</v>
      </c>
      <c r="W27" s="9">
        <f>'Expenses-YTD Aug 2001'!W27+'Expenses-Sep-Dec 2001'!W27</f>
        <v>49937</v>
      </c>
      <c r="Y27" s="9">
        <f>'Expenses-YTD Aug 2001'!Y27+'Expenses-Sep-Dec 2001'!Y27</f>
        <v>26732</v>
      </c>
      <c r="AA27" s="9">
        <f>'Expenses-YTD Aug 2001'!AA27+'Expenses-Sep-Dec 2001'!AA27</f>
        <v>-112352</v>
      </c>
      <c r="AC27" s="9">
        <f>'Expenses-YTD Aug 2001'!AC27+'Expenses-Sep-Dec 2001'!AC27</f>
        <v>8378</v>
      </c>
      <c r="AE27" s="9">
        <f>'Expenses-YTD Aug 2001'!AE27+'Expenses-Sep-Dec 2001'!AE27</f>
        <v>2660</v>
      </c>
      <c r="AF27" s="7"/>
      <c r="AG27" s="9">
        <f>'Expenses-YTD Aug 2001'!AG27+'Expenses-Sep-Dec 2001'!AG27</f>
        <v>2825</v>
      </c>
      <c r="AH27" s="7"/>
      <c r="AI27" s="9">
        <f>'Expenses-YTD Aug 2001'!AI27+'Expenses-Sep-Dec 2001'!AI27</f>
        <v>71368</v>
      </c>
      <c r="AJ27" s="7"/>
      <c r="AK27" s="9">
        <f>'Expenses-YTD Aug 2001'!AK27+'Expenses-Sep-Dec 2001'!AK27</f>
        <v>64963</v>
      </c>
      <c r="AL27" s="7"/>
      <c r="AM27" s="9">
        <f>'Expenses-YTD Aug 2001'!AM27+'Expenses-Sep-Dec 2001'!AM27</f>
        <v>-290162</v>
      </c>
      <c r="AO27" s="2" t="s">
        <v>58</v>
      </c>
    </row>
    <row r="28" spans="1:41">
      <c r="A28" s="1" t="s">
        <v>59</v>
      </c>
      <c r="C28" s="7">
        <f t="shared" si="0"/>
        <v>-1111</v>
      </c>
      <c r="D28" s="8"/>
      <c r="E28" s="9">
        <f>'Expenses-YTD Aug 2001'!E28+'Expenses-Sep-Dec 2001'!E28</f>
        <v>-373</v>
      </c>
      <c r="F28" s="9"/>
      <c r="G28" s="9">
        <f>'Expenses-YTD Aug 2001'!G28+'Expenses-Sep-Dec 2001'!G28</f>
        <v>1624</v>
      </c>
      <c r="H28" s="7"/>
      <c r="I28" s="9">
        <f>'Expenses-YTD Aug 2001'!I28+'Expenses-Sep-Dec 2001'!I28</f>
        <v>42</v>
      </c>
      <c r="J28" s="7"/>
      <c r="K28" s="9">
        <f>'Expenses-YTD Aug 2001'!K28+'Expenses-Sep-Dec 2001'!K28</f>
        <v>13288</v>
      </c>
      <c r="L28" s="7"/>
      <c r="M28" s="9">
        <f>'Expenses-YTD Aug 2001'!M28+'Expenses-Sep-Dec 2001'!M28</f>
        <v>185</v>
      </c>
      <c r="N28" s="7"/>
      <c r="O28" s="9">
        <f>'Expenses-YTD Aug 2001'!O28+'Expenses-Sep-Dec 2001'!O28</f>
        <v>48</v>
      </c>
      <c r="P28" s="7"/>
      <c r="Q28" s="9">
        <f>'Expenses-YTD Aug 2001'!Q28+'Expenses-Sep-Dec 2001'!Q28</f>
        <v>33</v>
      </c>
      <c r="R28" s="7"/>
      <c r="S28" s="9">
        <f>'Expenses-YTD Aug 2001'!S28+'Expenses-Sep-Dec 2001'!S28</f>
        <v>0</v>
      </c>
      <c r="T28" s="7"/>
      <c r="U28" s="9">
        <f>'Expenses-YTD Aug 2001'!U28+'Expenses-Sep-Dec 2001'!U28</f>
        <v>930</v>
      </c>
      <c r="W28" s="9">
        <f>'Expenses-YTD Aug 2001'!W28+'Expenses-Sep-Dec 2001'!W28</f>
        <v>4340</v>
      </c>
      <c r="Y28" s="9">
        <f>'Expenses-YTD Aug 2001'!Y28+'Expenses-Sep-Dec 2001'!Y28</f>
        <v>583</v>
      </c>
      <c r="AA28" s="9">
        <f>'Expenses-YTD Aug 2001'!AA28+'Expenses-Sep-Dec 2001'!AA28</f>
        <v>-26772</v>
      </c>
      <c r="AC28" s="9">
        <f>'Expenses-YTD Aug 2001'!AC28+'Expenses-Sep-Dec 2001'!AC28</f>
        <v>652</v>
      </c>
      <c r="AE28" s="9">
        <f>'Expenses-YTD Aug 2001'!AE28+'Expenses-Sep-Dec 2001'!AE28</f>
        <v>65</v>
      </c>
      <c r="AF28" s="7"/>
      <c r="AG28" s="9">
        <f>'Expenses-YTD Aug 2001'!AG28+'Expenses-Sep-Dec 2001'!AG28</f>
        <v>109</v>
      </c>
      <c r="AH28" s="7"/>
      <c r="AI28" s="9">
        <f>'Expenses-YTD Aug 2001'!AI28+'Expenses-Sep-Dec 2001'!AI28</f>
        <v>758</v>
      </c>
      <c r="AJ28" s="7"/>
      <c r="AK28" s="9">
        <f>'Expenses-YTD Aug 2001'!AK28+'Expenses-Sep-Dec 2001'!AK28</f>
        <v>932</v>
      </c>
      <c r="AL28" s="7"/>
      <c r="AM28" s="9">
        <f>'Expenses-YTD Aug 2001'!AM28+'Expenses-Sep-Dec 2001'!AM28</f>
        <v>2445</v>
      </c>
      <c r="AO28" s="2" t="s">
        <v>60</v>
      </c>
    </row>
    <row r="29" spans="1:41">
      <c r="A29" s="1" t="s">
        <v>61</v>
      </c>
      <c r="C29" s="7">
        <f t="shared" si="0"/>
        <v>-23291</v>
      </c>
      <c r="D29" s="8"/>
      <c r="E29" s="9">
        <f>'Expenses-YTD Aug 2001'!E29+'Expenses-Sep-Dec 2001'!E29</f>
        <v>4530</v>
      </c>
      <c r="F29" s="9"/>
      <c r="G29" s="9">
        <f>'Expenses-YTD Aug 2001'!G29+'Expenses-Sep-Dec 2001'!G29</f>
        <v>2116</v>
      </c>
      <c r="H29" s="7"/>
      <c r="I29" s="9">
        <f>'Expenses-YTD Aug 2001'!I29+'Expenses-Sep-Dec 2001'!I29</f>
        <v>306</v>
      </c>
      <c r="J29" s="7"/>
      <c r="K29" s="9">
        <f>'Expenses-YTD Aug 2001'!K29+'Expenses-Sep-Dec 2001'!K29</f>
        <v>6028</v>
      </c>
      <c r="L29" s="7"/>
      <c r="M29" s="9">
        <f>'Expenses-YTD Aug 2001'!M29+'Expenses-Sep-Dec 2001'!M29</f>
        <v>952</v>
      </c>
      <c r="N29" s="7"/>
      <c r="O29" s="9">
        <f>'Expenses-YTD Aug 2001'!O29+'Expenses-Sep-Dec 2001'!O29</f>
        <v>67</v>
      </c>
      <c r="P29" s="7"/>
      <c r="Q29" s="9">
        <f>'Expenses-YTD Aug 2001'!Q29+'Expenses-Sep-Dec 2001'!Q29</f>
        <v>116</v>
      </c>
      <c r="R29" s="7"/>
      <c r="S29" s="9">
        <f>'Expenses-YTD Aug 2001'!S29+'Expenses-Sep-Dec 2001'!S29</f>
        <v>75</v>
      </c>
      <c r="T29" s="7"/>
      <c r="U29" s="9">
        <f>'Expenses-YTD Aug 2001'!U29+'Expenses-Sep-Dec 2001'!U29</f>
        <v>325</v>
      </c>
      <c r="W29" s="9">
        <f>'Expenses-YTD Aug 2001'!W29+'Expenses-Sep-Dec 2001'!W29</f>
        <v>1915</v>
      </c>
      <c r="Y29" s="9">
        <f>'Expenses-YTD Aug 2001'!Y29+'Expenses-Sep-Dec 2001'!Y29</f>
        <v>1097</v>
      </c>
      <c r="AA29" s="9">
        <f>'Expenses-YTD Aug 2001'!AA29+'Expenses-Sep-Dec 2001'!AA29</f>
        <v>10177</v>
      </c>
      <c r="AC29" s="9">
        <f>'Expenses-YTD Aug 2001'!AC29+'Expenses-Sep-Dec 2001'!AC29</f>
        <v>2932</v>
      </c>
      <c r="AE29" s="9">
        <f>'Expenses-YTD Aug 2001'!AE29+'Expenses-Sep-Dec 2001'!AE29</f>
        <v>889</v>
      </c>
      <c r="AF29" s="7"/>
      <c r="AG29" s="9">
        <f>'Expenses-YTD Aug 2001'!AG29+'Expenses-Sep-Dec 2001'!AG29</f>
        <v>143</v>
      </c>
      <c r="AH29" s="7"/>
      <c r="AI29" s="9">
        <f>'Expenses-YTD Aug 2001'!AI29+'Expenses-Sep-Dec 2001'!AI29</f>
        <v>6977</v>
      </c>
      <c r="AJ29" s="7"/>
      <c r="AK29" s="9">
        <f>'Expenses-YTD Aug 2001'!AK29+'Expenses-Sep-Dec 2001'!AK29</f>
        <v>11148</v>
      </c>
      <c r="AL29" s="7"/>
      <c r="AM29" s="9">
        <f>'Expenses-YTD Aug 2001'!AM29+'Expenses-Sep-Dec 2001'!AM29</f>
        <v>-73084</v>
      </c>
      <c r="AO29" s="2" t="s">
        <v>62</v>
      </c>
    </row>
    <row r="30" spans="1:41">
      <c r="A30" s="1" t="s">
        <v>63</v>
      </c>
      <c r="C30" s="7">
        <f t="shared" si="0"/>
        <v>-1754208</v>
      </c>
      <c r="D30" s="8"/>
      <c r="E30" s="9">
        <f>'Expenses-YTD Aug 2001'!E30+'Expenses-Sep-Dec 2001'!E30</f>
        <v>-80588</v>
      </c>
      <c r="F30" s="9"/>
      <c r="G30" s="9">
        <f>'Expenses-YTD Aug 2001'!G30+'Expenses-Sep-Dec 2001'!G30</f>
        <v>35591</v>
      </c>
      <c r="H30" s="7"/>
      <c r="I30" s="9">
        <f>'Expenses-YTD Aug 2001'!I30+'Expenses-Sep-Dec 2001'!I30</f>
        <v>13</v>
      </c>
      <c r="J30" s="7"/>
      <c r="K30" s="9">
        <f>'Expenses-YTD Aug 2001'!K30+'Expenses-Sep-Dec 2001'!K30</f>
        <v>-41343</v>
      </c>
      <c r="L30" s="7"/>
      <c r="M30" s="9">
        <f>'Expenses-YTD Aug 2001'!M30+'Expenses-Sep-Dec 2001'!M30</f>
        <v>-15327</v>
      </c>
      <c r="N30" s="7"/>
      <c r="O30" s="9">
        <f>'Expenses-YTD Aug 2001'!O30+'Expenses-Sep-Dec 2001'!O30</f>
        <v>0</v>
      </c>
      <c r="P30" s="7"/>
      <c r="Q30" s="9">
        <f>'Expenses-YTD Aug 2001'!Q30+'Expenses-Sep-Dec 2001'!Q30</f>
        <v>0</v>
      </c>
      <c r="R30" s="7"/>
      <c r="S30" s="9">
        <f>'Expenses-YTD Aug 2001'!S30+'Expenses-Sep-Dec 2001'!S30</f>
        <v>0</v>
      </c>
      <c r="T30" s="7"/>
      <c r="U30" s="9">
        <f>'Expenses-YTD Aug 2001'!U30+'Expenses-Sep-Dec 2001'!U30</f>
        <v>-34099</v>
      </c>
      <c r="W30" s="9">
        <f>'Expenses-YTD Aug 2001'!W30+'Expenses-Sep-Dec 2001'!W30</f>
        <v>6119</v>
      </c>
      <c r="Y30" s="9">
        <f>'Expenses-YTD Aug 2001'!Y30+'Expenses-Sep-Dec 2001'!Y30</f>
        <v>-3022</v>
      </c>
      <c r="AA30" s="9">
        <f>'Expenses-YTD Aug 2001'!AA30+'Expenses-Sep-Dec 2001'!AA30</f>
        <v>-185961</v>
      </c>
      <c r="AC30" s="9">
        <f>'Expenses-YTD Aug 2001'!AC30+'Expenses-Sep-Dec 2001'!AC30</f>
        <v>-1127760</v>
      </c>
      <c r="AE30" s="9">
        <f>'Expenses-YTD Aug 2001'!AE30+'Expenses-Sep-Dec 2001'!AE30</f>
        <v>804</v>
      </c>
      <c r="AF30" s="7"/>
      <c r="AG30" s="9">
        <f>'Expenses-YTD Aug 2001'!AG30+'Expenses-Sep-Dec 2001'!AG30</f>
        <v>11104</v>
      </c>
      <c r="AH30" s="7"/>
      <c r="AI30" s="9">
        <f>'Expenses-YTD Aug 2001'!AI30+'Expenses-Sep-Dec 2001'!AI30</f>
        <v>-71123</v>
      </c>
      <c r="AJ30" s="7"/>
      <c r="AK30" s="9">
        <f>'Expenses-YTD Aug 2001'!AK30+'Expenses-Sep-Dec 2001'!AK30</f>
        <v>-101400</v>
      </c>
      <c r="AL30" s="7"/>
      <c r="AM30" s="9">
        <f>'Expenses-YTD Aug 2001'!AM30+'Expenses-Sep-Dec 2001'!AM30</f>
        <v>-147216</v>
      </c>
      <c r="AO30" s="2" t="s">
        <v>64</v>
      </c>
    </row>
    <row r="31" spans="1:41" ht="8.1" customHeight="1">
      <c r="C31" s="12"/>
      <c r="D31" s="8"/>
      <c r="E31" s="12"/>
      <c r="F31" s="13"/>
      <c r="G31" s="12"/>
      <c r="H31" s="13"/>
      <c r="I31" s="14"/>
      <c r="J31" s="13"/>
      <c r="K31" s="14"/>
      <c r="L31" s="13"/>
      <c r="M31" s="12"/>
      <c r="N31" s="13"/>
      <c r="O31" s="12"/>
      <c r="P31" s="13"/>
      <c r="Q31" s="12"/>
      <c r="R31" s="8"/>
      <c r="S31" s="12"/>
      <c r="T31" s="13"/>
      <c r="U31" s="14"/>
      <c r="V31" s="10"/>
      <c r="W31" s="14"/>
      <c r="Y31" s="12"/>
      <c r="AA31" s="12"/>
      <c r="AC31" s="12"/>
      <c r="AE31" s="12"/>
      <c r="AF31" s="8"/>
      <c r="AG31" s="12"/>
      <c r="AH31" s="8"/>
      <c r="AI31" s="12"/>
      <c r="AJ31" s="8"/>
      <c r="AK31" s="12"/>
      <c r="AL31" s="8"/>
      <c r="AM31" s="12"/>
    </row>
    <row r="32" spans="1:41" ht="13.5" thickBot="1">
      <c r="A32" s="1" t="s">
        <v>6</v>
      </c>
      <c r="C32" s="15">
        <f>SUM(C9:C31)</f>
        <v>2310576</v>
      </c>
      <c r="D32" s="4"/>
      <c r="E32" s="15">
        <f>SUM(E9:E31)</f>
        <v>148470</v>
      </c>
      <c r="F32" s="4"/>
      <c r="G32" s="15">
        <f>SUM(G9:G31)</f>
        <v>235895</v>
      </c>
      <c r="H32" s="4"/>
      <c r="I32" s="15">
        <f>SUM(I9:I31)</f>
        <v>54154</v>
      </c>
      <c r="J32" s="4"/>
      <c r="K32" s="15">
        <f>SUM(K9:K31)</f>
        <v>445641</v>
      </c>
      <c r="L32" s="4"/>
      <c r="M32" s="15">
        <f>SUM(M9:M31)</f>
        <v>8351</v>
      </c>
      <c r="N32" s="4"/>
      <c r="O32" s="15">
        <f>SUM(O9:O31)</f>
        <v>3724</v>
      </c>
      <c r="P32" s="4"/>
      <c r="Q32" s="15">
        <f>SUM(Q9:Q31)</f>
        <v>20961</v>
      </c>
      <c r="R32" s="4"/>
      <c r="S32" s="15">
        <f>SUM(S9:S31)</f>
        <v>8972</v>
      </c>
      <c r="T32" s="4"/>
      <c r="U32" s="15">
        <f>SUM(U9:U31)</f>
        <v>307401</v>
      </c>
      <c r="W32" s="15">
        <f>SUM(W9:W31)</f>
        <v>146798</v>
      </c>
      <c r="Y32" s="15">
        <f>SUM(Y9:Y31)</f>
        <v>57208</v>
      </c>
      <c r="AA32" s="15">
        <f>SUM(AA9:AA31)</f>
        <v>2204</v>
      </c>
      <c r="AC32" s="15">
        <f>SUM(AC9:AC31)</f>
        <v>42732</v>
      </c>
      <c r="AE32" s="15">
        <f>SUM(AE9:AE31)</f>
        <v>15059</v>
      </c>
      <c r="AF32" s="4"/>
      <c r="AG32" s="15">
        <f>SUM(AG9:AG31)</f>
        <v>4330</v>
      </c>
      <c r="AH32" s="4"/>
      <c r="AI32" s="15">
        <f>SUM(AI9:AI31)</f>
        <v>194082</v>
      </c>
      <c r="AJ32" s="4"/>
      <c r="AK32" s="15">
        <f>SUM(AK9:AK31)</f>
        <v>411720</v>
      </c>
      <c r="AL32" s="4"/>
      <c r="AM32" s="15">
        <f>SUM(AM9:AM31)</f>
        <v>202874</v>
      </c>
    </row>
    <row r="33" spans="1:39" ht="8.1" customHeight="1" thickTop="1">
      <c r="D33" s="3"/>
    </row>
    <row r="38" spans="1:39">
      <c r="A38" s="16" t="s">
        <v>65</v>
      </c>
    </row>
    <row r="39" spans="1:39">
      <c r="A39" s="17" t="s">
        <v>66</v>
      </c>
      <c r="B39" s="17"/>
      <c r="C39" s="7">
        <f t="shared" ref="C39:C59" si="1">SUM(E39:AM39)</f>
        <v>0</v>
      </c>
      <c r="E39" s="7">
        <f>'Expenses-YTD Aug 2001'!E39+'Expenses-Sep-Dec 2001'!E39</f>
        <v>0</v>
      </c>
      <c r="F39" s="7"/>
      <c r="G39" s="7">
        <f>'Expenses-YTD Aug 2001'!G39+'Expenses-Sep-Dec 2001'!G39</f>
        <v>0</v>
      </c>
      <c r="H39" s="7"/>
      <c r="I39" s="7">
        <f>'Expenses-YTD Aug 2001'!I39+'Expenses-Sep-Dec 2001'!I39</f>
        <v>0</v>
      </c>
      <c r="J39" s="7"/>
      <c r="K39" s="7">
        <f>'Expenses-YTD Aug 2001'!K39+'Expenses-Sep-Dec 2001'!K39</f>
        <v>0</v>
      </c>
      <c r="L39" s="7"/>
      <c r="M39" s="7">
        <f>'Expenses-YTD Aug 2001'!M39+'Expenses-Sep-Dec 2001'!M39</f>
        <v>0</v>
      </c>
      <c r="N39" s="7"/>
      <c r="O39" s="7">
        <f>'Expenses-YTD Aug 2001'!O39+'Expenses-Sep-Dec 2001'!O39</f>
        <v>0</v>
      </c>
      <c r="P39" s="7"/>
      <c r="Q39" s="7">
        <f>'Expenses-YTD Aug 2001'!Q39+'Expenses-Sep-Dec 2001'!Q39</f>
        <v>0</v>
      </c>
      <c r="R39" s="7"/>
      <c r="S39" s="7">
        <f>'Expenses-YTD Aug 2001'!S39+'Expenses-Sep-Dec 2001'!S39</f>
        <v>0</v>
      </c>
      <c r="T39" s="7"/>
      <c r="U39" s="7">
        <f>'Expenses-YTD Aug 2001'!U39+'Expenses-Sep-Dec 2001'!U39</f>
        <v>0</v>
      </c>
      <c r="W39" s="7">
        <f>'Expenses-YTD Aug 2001'!W39+'Expenses-Sep-Dec 2001'!W39</f>
        <v>0</v>
      </c>
      <c r="Y39" s="7">
        <f>'Expenses-YTD Aug 2001'!Y39+'Expenses-Sep-Dec 2001'!Y39</f>
        <v>0</v>
      </c>
      <c r="AA39" s="7">
        <f>'Expenses-YTD Aug 2001'!AA39+'Expenses-Sep-Dec 2001'!AA39</f>
        <v>0</v>
      </c>
      <c r="AC39" s="7">
        <f>'Expenses-YTD Aug 2001'!AC39+'Expenses-Sep-Dec 2001'!AC39</f>
        <v>0</v>
      </c>
      <c r="AE39" s="7">
        <f>'Expenses-YTD Aug 2001'!AE39+'Expenses-Sep-Dec 2001'!AE39</f>
        <v>0</v>
      </c>
      <c r="AF39" s="7"/>
      <c r="AG39" s="7">
        <f>'Expenses-YTD Aug 2001'!AG39+'Expenses-Sep-Dec 2001'!AG39</f>
        <v>0</v>
      </c>
      <c r="AH39" s="7"/>
      <c r="AI39" s="7">
        <f>'Expenses-YTD Aug 2001'!AI39+'Expenses-Sep-Dec 2001'!AI39</f>
        <v>0</v>
      </c>
      <c r="AJ39" s="7"/>
      <c r="AK39" s="7">
        <f>'Expenses-YTD Aug 2001'!AK39+'Expenses-Sep-Dec 2001'!AK39</f>
        <v>0</v>
      </c>
      <c r="AL39" s="7"/>
      <c r="AM39" s="7">
        <f>'Expenses-YTD Aug 2001'!AM39+'Expenses-Sep-Dec 2001'!AM39</f>
        <v>0</v>
      </c>
    </row>
    <row r="40" spans="1:39">
      <c r="A40" s="17" t="s">
        <v>67</v>
      </c>
      <c r="B40" s="17"/>
      <c r="C40" s="7">
        <f t="shared" si="1"/>
        <v>0</v>
      </c>
      <c r="E40" s="7">
        <f>'Expenses-YTD Aug 2001'!E40+'Expenses-Sep-Dec 2001'!E40</f>
        <v>0</v>
      </c>
      <c r="F40" s="7"/>
      <c r="G40" s="7">
        <f>'Expenses-YTD Aug 2001'!G40+'Expenses-Sep-Dec 2001'!G40</f>
        <v>0</v>
      </c>
      <c r="H40" s="7"/>
      <c r="I40" s="7">
        <f>'Expenses-YTD Aug 2001'!I40+'Expenses-Sep-Dec 2001'!I40</f>
        <v>0</v>
      </c>
      <c r="J40" s="7"/>
      <c r="K40" s="7">
        <f>'Expenses-YTD Aug 2001'!K40+'Expenses-Sep-Dec 2001'!K40</f>
        <v>0</v>
      </c>
      <c r="L40" s="7"/>
      <c r="M40" s="7">
        <f>'Expenses-YTD Aug 2001'!M40+'Expenses-Sep-Dec 2001'!M40</f>
        <v>0</v>
      </c>
      <c r="N40" s="7"/>
      <c r="O40" s="7">
        <f>'Expenses-YTD Aug 2001'!O40+'Expenses-Sep-Dec 2001'!O40</f>
        <v>0</v>
      </c>
      <c r="P40" s="7"/>
      <c r="Q40" s="7">
        <f>'Expenses-YTD Aug 2001'!Q40+'Expenses-Sep-Dec 2001'!Q40</f>
        <v>0</v>
      </c>
      <c r="R40" s="7"/>
      <c r="S40" s="7">
        <f>'Expenses-YTD Aug 2001'!S40+'Expenses-Sep-Dec 2001'!S40</f>
        <v>0</v>
      </c>
      <c r="T40" s="7"/>
      <c r="U40" s="7">
        <f>'Expenses-YTD Aug 2001'!U40+'Expenses-Sep-Dec 2001'!U40</f>
        <v>0</v>
      </c>
      <c r="W40" s="7">
        <f>'Expenses-YTD Aug 2001'!W40+'Expenses-Sep-Dec 2001'!W40</f>
        <v>0</v>
      </c>
      <c r="Y40" s="7">
        <f>'Expenses-YTD Aug 2001'!Y40+'Expenses-Sep-Dec 2001'!Y40</f>
        <v>0</v>
      </c>
      <c r="AA40" s="7">
        <f>'Expenses-YTD Aug 2001'!AA40+'Expenses-Sep-Dec 2001'!AA40</f>
        <v>0</v>
      </c>
      <c r="AC40" s="7">
        <f>'Expenses-YTD Aug 2001'!AC40+'Expenses-Sep-Dec 2001'!AC40</f>
        <v>0</v>
      </c>
      <c r="AE40" s="7">
        <f>'Expenses-YTD Aug 2001'!AE40+'Expenses-Sep-Dec 2001'!AE40</f>
        <v>0</v>
      </c>
      <c r="AF40" s="7"/>
      <c r="AG40" s="7">
        <f>'Expenses-YTD Aug 2001'!AG40+'Expenses-Sep-Dec 2001'!AG40</f>
        <v>0</v>
      </c>
      <c r="AH40" s="7"/>
      <c r="AI40" s="7">
        <f>'Expenses-YTD Aug 2001'!AI40+'Expenses-Sep-Dec 2001'!AI40</f>
        <v>0</v>
      </c>
      <c r="AJ40" s="7"/>
      <c r="AK40" s="7">
        <f>'Expenses-YTD Aug 2001'!AK40+'Expenses-Sep-Dec 2001'!AK40</f>
        <v>0</v>
      </c>
      <c r="AL40" s="7"/>
      <c r="AM40" s="7">
        <f>'Expenses-YTD Aug 2001'!AM40+'Expenses-Sep-Dec 2001'!AM40</f>
        <v>0</v>
      </c>
    </row>
    <row r="41" spans="1:39">
      <c r="A41" s="17" t="s">
        <v>68</v>
      </c>
      <c r="B41" s="17"/>
      <c r="C41" s="7">
        <f t="shared" si="1"/>
        <v>0</v>
      </c>
      <c r="E41" s="7">
        <f>'Expenses-YTD Aug 2001'!E41+'Expenses-Sep-Dec 2001'!E41</f>
        <v>0</v>
      </c>
      <c r="F41" s="7"/>
      <c r="G41" s="7">
        <f>'Expenses-YTD Aug 2001'!G41+'Expenses-Sep-Dec 2001'!G41</f>
        <v>0</v>
      </c>
      <c r="H41" s="7"/>
      <c r="I41" s="7">
        <f>'Expenses-YTD Aug 2001'!I41+'Expenses-Sep-Dec 2001'!I41</f>
        <v>0</v>
      </c>
      <c r="J41" s="7"/>
      <c r="K41" s="7">
        <f>'Expenses-YTD Aug 2001'!K41+'Expenses-Sep-Dec 2001'!K41</f>
        <v>0</v>
      </c>
      <c r="L41" s="7"/>
      <c r="M41" s="7">
        <f>'Expenses-YTD Aug 2001'!M41+'Expenses-Sep-Dec 2001'!M41</f>
        <v>0</v>
      </c>
      <c r="N41" s="7"/>
      <c r="O41" s="7">
        <f>'Expenses-YTD Aug 2001'!O41+'Expenses-Sep-Dec 2001'!O41</f>
        <v>0</v>
      </c>
      <c r="P41" s="7"/>
      <c r="Q41" s="7">
        <f>'Expenses-YTD Aug 2001'!Q41+'Expenses-Sep-Dec 2001'!Q41</f>
        <v>0</v>
      </c>
      <c r="R41" s="7"/>
      <c r="S41" s="7">
        <f>'Expenses-YTD Aug 2001'!S41+'Expenses-Sep-Dec 2001'!S41</f>
        <v>0</v>
      </c>
      <c r="T41" s="7"/>
      <c r="U41" s="7">
        <f>'Expenses-YTD Aug 2001'!U41+'Expenses-Sep-Dec 2001'!U41</f>
        <v>0</v>
      </c>
      <c r="W41" s="7">
        <f>'Expenses-YTD Aug 2001'!W41+'Expenses-Sep-Dec 2001'!W41</f>
        <v>0</v>
      </c>
      <c r="Y41" s="7">
        <f>'Expenses-YTD Aug 2001'!Y41+'Expenses-Sep-Dec 2001'!Y41</f>
        <v>0</v>
      </c>
      <c r="AA41" s="7">
        <f>'Expenses-YTD Aug 2001'!AA41+'Expenses-Sep-Dec 2001'!AA41</f>
        <v>0</v>
      </c>
      <c r="AC41" s="7">
        <f>'Expenses-YTD Aug 2001'!AC41+'Expenses-Sep-Dec 2001'!AC41</f>
        <v>0</v>
      </c>
      <c r="AE41" s="7">
        <f>'Expenses-YTD Aug 2001'!AE41+'Expenses-Sep-Dec 2001'!AE41</f>
        <v>0</v>
      </c>
      <c r="AF41" s="7"/>
      <c r="AG41" s="7">
        <f>'Expenses-YTD Aug 2001'!AG41+'Expenses-Sep-Dec 2001'!AG41</f>
        <v>0</v>
      </c>
      <c r="AH41" s="7"/>
      <c r="AI41" s="7">
        <f>'Expenses-YTD Aug 2001'!AI41+'Expenses-Sep-Dec 2001'!AI41</f>
        <v>0</v>
      </c>
      <c r="AJ41" s="7"/>
      <c r="AK41" s="7">
        <f>'Expenses-YTD Aug 2001'!AK41+'Expenses-Sep-Dec 2001'!AK41</f>
        <v>0</v>
      </c>
      <c r="AL41" s="7"/>
      <c r="AM41" s="7">
        <f>'Expenses-YTD Aug 2001'!AM41+'Expenses-Sep-Dec 2001'!AM41</f>
        <v>0</v>
      </c>
    </row>
    <row r="42" spans="1:39">
      <c r="A42" s="17" t="s">
        <v>69</v>
      </c>
      <c r="B42" s="17"/>
      <c r="C42" s="7">
        <f t="shared" si="1"/>
        <v>0</v>
      </c>
      <c r="E42" s="7">
        <f>'Expenses-YTD Aug 2001'!E42+'Expenses-Sep-Dec 2001'!E42</f>
        <v>0</v>
      </c>
      <c r="F42" s="7"/>
      <c r="G42" s="7">
        <f>'Expenses-YTD Aug 2001'!G42+'Expenses-Sep-Dec 2001'!G42</f>
        <v>0</v>
      </c>
      <c r="H42" s="7"/>
      <c r="I42" s="7">
        <f>'Expenses-YTD Aug 2001'!I42+'Expenses-Sep-Dec 2001'!I42</f>
        <v>0</v>
      </c>
      <c r="J42" s="7"/>
      <c r="K42" s="7">
        <f>'Expenses-YTD Aug 2001'!K42+'Expenses-Sep-Dec 2001'!K42</f>
        <v>0</v>
      </c>
      <c r="L42" s="7"/>
      <c r="M42" s="7">
        <f>'Expenses-YTD Aug 2001'!M42+'Expenses-Sep-Dec 2001'!M42</f>
        <v>0</v>
      </c>
      <c r="N42" s="7"/>
      <c r="O42" s="7">
        <f>'Expenses-YTD Aug 2001'!O42+'Expenses-Sep-Dec 2001'!O42</f>
        <v>0</v>
      </c>
      <c r="P42" s="7"/>
      <c r="Q42" s="7">
        <f>'Expenses-YTD Aug 2001'!Q42+'Expenses-Sep-Dec 2001'!Q42</f>
        <v>0</v>
      </c>
      <c r="R42" s="7"/>
      <c r="S42" s="7">
        <f>'Expenses-YTD Aug 2001'!S42+'Expenses-Sep-Dec 2001'!S42</f>
        <v>0</v>
      </c>
      <c r="T42" s="7"/>
      <c r="U42" s="7">
        <f>'Expenses-YTD Aug 2001'!U42+'Expenses-Sep-Dec 2001'!U42</f>
        <v>0</v>
      </c>
      <c r="W42" s="7">
        <f>'Expenses-YTD Aug 2001'!W42+'Expenses-Sep-Dec 2001'!W42</f>
        <v>0</v>
      </c>
      <c r="Y42" s="7">
        <f>'Expenses-YTD Aug 2001'!Y42+'Expenses-Sep-Dec 2001'!Y42</f>
        <v>0</v>
      </c>
      <c r="AA42" s="7">
        <f>'Expenses-YTD Aug 2001'!AA42+'Expenses-Sep-Dec 2001'!AA42</f>
        <v>0</v>
      </c>
      <c r="AC42" s="7">
        <f>'Expenses-YTD Aug 2001'!AC42+'Expenses-Sep-Dec 2001'!AC42</f>
        <v>0</v>
      </c>
      <c r="AE42" s="7">
        <f>'Expenses-YTD Aug 2001'!AE42+'Expenses-Sep-Dec 2001'!AE42</f>
        <v>0</v>
      </c>
      <c r="AF42" s="7"/>
      <c r="AG42" s="7">
        <f>'Expenses-YTD Aug 2001'!AG42+'Expenses-Sep-Dec 2001'!AG42</f>
        <v>0</v>
      </c>
      <c r="AH42" s="7"/>
      <c r="AI42" s="7">
        <f>'Expenses-YTD Aug 2001'!AI42+'Expenses-Sep-Dec 2001'!AI42</f>
        <v>0</v>
      </c>
      <c r="AJ42" s="7"/>
      <c r="AK42" s="7">
        <f>'Expenses-YTD Aug 2001'!AK42+'Expenses-Sep-Dec 2001'!AK42</f>
        <v>0</v>
      </c>
      <c r="AL42" s="7"/>
      <c r="AM42" s="7">
        <f>'Expenses-YTD Aug 2001'!AM42+'Expenses-Sep-Dec 2001'!AM42</f>
        <v>0</v>
      </c>
    </row>
    <row r="43" spans="1:39">
      <c r="A43" s="17" t="s">
        <v>70</v>
      </c>
      <c r="B43" s="17"/>
      <c r="C43" s="7">
        <f t="shared" si="1"/>
        <v>0</v>
      </c>
      <c r="E43" s="7">
        <f>'Expenses-YTD Aug 2001'!E43+'Expenses-Sep-Dec 2001'!E43</f>
        <v>0</v>
      </c>
      <c r="F43" s="7"/>
      <c r="G43" s="7">
        <f>'Expenses-YTD Aug 2001'!G43+'Expenses-Sep-Dec 2001'!G43</f>
        <v>0</v>
      </c>
      <c r="H43" s="7"/>
      <c r="I43" s="7">
        <f>'Expenses-YTD Aug 2001'!I43+'Expenses-Sep-Dec 2001'!I43</f>
        <v>0</v>
      </c>
      <c r="J43" s="7"/>
      <c r="K43" s="7">
        <f>'Expenses-YTD Aug 2001'!K43+'Expenses-Sep-Dec 2001'!K43</f>
        <v>0</v>
      </c>
      <c r="L43" s="7"/>
      <c r="M43" s="7">
        <f>'Expenses-YTD Aug 2001'!M43+'Expenses-Sep-Dec 2001'!M43</f>
        <v>0</v>
      </c>
      <c r="N43" s="7"/>
      <c r="O43" s="7">
        <f>'Expenses-YTD Aug 2001'!O43+'Expenses-Sep-Dec 2001'!O43</f>
        <v>0</v>
      </c>
      <c r="P43" s="7"/>
      <c r="Q43" s="7">
        <f>'Expenses-YTD Aug 2001'!Q43+'Expenses-Sep-Dec 2001'!Q43</f>
        <v>0</v>
      </c>
      <c r="R43" s="7"/>
      <c r="S43" s="7">
        <f>'Expenses-YTD Aug 2001'!S43+'Expenses-Sep-Dec 2001'!S43</f>
        <v>0</v>
      </c>
      <c r="T43" s="7"/>
      <c r="U43" s="7">
        <f>'Expenses-YTD Aug 2001'!U43+'Expenses-Sep-Dec 2001'!U43</f>
        <v>0</v>
      </c>
      <c r="W43" s="7">
        <f>'Expenses-YTD Aug 2001'!W43+'Expenses-Sep-Dec 2001'!W43</f>
        <v>0</v>
      </c>
      <c r="Y43" s="7">
        <f>'Expenses-YTD Aug 2001'!Y43+'Expenses-Sep-Dec 2001'!Y43</f>
        <v>0</v>
      </c>
      <c r="AA43" s="7">
        <f>'Expenses-YTD Aug 2001'!AA43+'Expenses-Sep-Dec 2001'!AA43</f>
        <v>0</v>
      </c>
      <c r="AC43" s="7">
        <f>'Expenses-YTD Aug 2001'!AC43+'Expenses-Sep-Dec 2001'!AC43</f>
        <v>0</v>
      </c>
      <c r="AE43" s="7">
        <f>'Expenses-YTD Aug 2001'!AE43+'Expenses-Sep-Dec 2001'!AE43</f>
        <v>0</v>
      </c>
      <c r="AF43" s="7"/>
      <c r="AG43" s="7">
        <f>'Expenses-YTD Aug 2001'!AG43+'Expenses-Sep-Dec 2001'!AG43</f>
        <v>0</v>
      </c>
      <c r="AH43" s="7"/>
      <c r="AI43" s="7">
        <f>'Expenses-YTD Aug 2001'!AI43+'Expenses-Sep-Dec 2001'!AI43</f>
        <v>0</v>
      </c>
      <c r="AJ43" s="7"/>
      <c r="AK43" s="7">
        <f>'Expenses-YTD Aug 2001'!AK43+'Expenses-Sep-Dec 2001'!AK43</f>
        <v>0</v>
      </c>
      <c r="AL43" s="7"/>
      <c r="AM43" s="7">
        <f>'Expenses-YTD Aug 2001'!AM43+'Expenses-Sep-Dec 2001'!AM43</f>
        <v>0</v>
      </c>
    </row>
    <row r="44" spans="1:39">
      <c r="A44" s="17" t="s">
        <v>71</v>
      </c>
      <c r="B44" s="17"/>
      <c r="C44" s="7">
        <f t="shared" si="1"/>
        <v>0</v>
      </c>
      <c r="E44" s="7">
        <f>'Expenses-YTD Aug 2001'!E44+'Expenses-Sep-Dec 2001'!E44</f>
        <v>0</v>
      </c>
      <c r="F44" s="7"/>
      <c r="G44" s="7">
        <f>'Expenses-YTD Aug 2001'!G44+'Expenses-Sep-Dec 2001'!G44</f>
        <v>0</v>
      </c>
      <c r="H44" s="7"/>
      <c r="I44" s="7">
        <f>'Expenses-YTD Aug 2001'!I44+'Expenses-Sep-Dec 2001'!I44</f>
        <v>0</v>
      </c>
      <c r="J44" s="7"/>
      <c r="K44" s="7">
        <f>'Expenses-YTD Aug 2001'!K44+'Expenses-Sep-Dec 2001'!K44</f>
        <v>0</v>
      </c>
      <c r="L44" s="7"/>
      <c r="M44" s="7">
        <f>'Expenses-YTD Aug 2001'!M44+'Expenses-Sep-Dec 2001'!M44</f>
        <v>0</v>
      </c>
      <c r="N44" s="7"/>
      <c r="O44" s="7">
        <f>'Expenses-YTD Aug 2001'!O44+'Expenses-Sep-Dec 2001'!O44</f>
        <v>0</v>
      </c>
      <c r="P44" s="7"/>
      <c r="Q44" s="7">
        <f>'Expenses-YTD Aug 2001'!Q44+'Expenses-Sep-Dec 2001'!Q44</f>
        <v>0</v>
      </c>
      <c r="R44" s="7"/>
      <c r="S44" s="7">
        <f>'Expenses-YTD Aug 2001'!S44+'Expenses-Sep-Dec 2001'!S44</f>
        <v>0</v>
      </c>
      <c r="T44" s="7"/>
      <c r="U44" s="7">
        <f>'Expenses-YTD Aug 2001'!U44+'Expenses-Sep-Dec 2001'!U44</f>
        <v>0</v>
      </c>
      <c r="W44" s="7">
        <f>'Expenses-YTD Aug 2001'!W44+'Expenses-Sep-Dec 2001'!W44</f>
        <v>0</v>
      </c>
      <c r="Y44" s="7">
        <f>'Expenses-YTD Aug 2001'!Y44+'Expenses-Sep-Dec 2001'!Y44</f>
        <v>0</v>
      </c>
      <c r="AA44" s="7">
        <f>'Expenses-YTD Aug 2001'!AA44+'Expenses-Sep-Dec 2001'!AA44</f>
        <v>0</v>
      </c>
      <c r="AC44" s="7">
        <f>'Expenses-YTD Aug 2001'!AC44+'Expenses-Sep-Dec 2001'!AC44</f>
        <v>0</v>
      </c>
      <c r="AE44" s="7">
        <f>'Expenses-YTD Aug 2001'!AE44+'Expenses-Sep-Dec 2001'!AE44</f>
        <v>0</v>
      </c>
      <c r="AF44" s="7"/>
      <c r="AG44" s="7">
        <f>'Expenses-YTD Aug 2001'!AG44+'Expenses-Sep-Dec 2001'!AG44</f>
        <v>0</v>
      </c>
      <c r="AH44" s="7"/>
      <c r="AI44" s="7">
        <f>'Expenses-YTD Aug 2001'!AI44+'Expenses-Sep-Dec 2001'!AI44</f>
        <v>0</v>
      </c>
      <c r="AJ44" s="7"/>
      <c r="AK44" s="7">
        <f>'Expenses-YTD Aug 2001'!AK44+'Expenses-Sep-Dec 2001'!AK44</f>
        <v>0</v>
      </c>
      <c r="AL44" s="7"/>
      <c r="AM44" s="7">
        <f>'Expenses-YTD Aug 2001'!AM44+'Expenses-Sep-Dec 2001'!AM44</f>
        <v>0</v>
      </c>
    </row>
    <row r="45" spans="1:39">
      <c r="A45" s="17" t="s">
        <v>63</v>
      </c>
      <c r="B45" s="17"/>
      <c r="C45" s="7">
        <f t="shared" si="1"/>
        <v>0</v>
      </c>
      <c r="E45" s="7">
        <f>'Expenses-YTD Aug 2001'!E45+'Expenses-Sep-Dec 2001'!E45</f>
        <v>0</v>
      </c>
      <c r="F45" s="7"/>
      <c r="G45" s="7">
        <f>'Expenses-YTD Aug 2001'!G45+'Expenses-Sep-Dec 2001'!G45</f>
        <v>0</v>
      </c>
      <c r="H45" s="7"/>
      <c r="I45" s="7">
        <f>'Expenses-YTD Aug 2001'!I45+'Expenses-Sep-Dec 2001'!I45</f>
        <v>0</v>
      </c>
      <c r="J45" s="7"/>
      <c r="K45" s="7">
        <f>'Expenses-YTD Aug 2001'!K45+'Expenses-Sep-Dec 2001'!K45</f>
        <v>0</v>
      </c>
      <c r="L45" s="7"/>
      <c r="M45" s="7">
        <f>'Expenses-YTD Aug 2001'!M45+'Expenses-Sep-Dec 2001'!M45</f>
        <v>0</v>
      </c>
      <c r="N45" s="7"/>
      <c r="O45" s="7">
        <f>'Expenses-YTD Aug 2001'!O45+'Expenses-Sep-Dec 2001'!O45</f>
        <v>0</v>
      </c>
      <c r="P45" s="7"/>
      <c r="Q45" s="7">
        <f>'Expenses-YTD Aug 2001'!Q45+'Expenses-Sep-Dec 2001'!Q45</f>
        <v>0</v>
      </c>
      <c r="R45" s="7"/>
      <c r="S45" s="7">
        <f>'Expenses-YTD Aug 2001'!S45+'Expenses-Sep-Dec 2001'!S45</f>
        <v>0</v>
      </c>
      <c r="T45" s="7"/>
      <c r="U45" s="7">
        <f>'Expenses-YTD Aug 2001'!U45+'Expenses-Sep-Dec 2001'!U45</f>
        <v>0</v>
      </c>
      <c r="W45" s="7">
        <f>'Expenses-YTD Aug 2001'!W45+'Expenses-Sep-Dec 2001'!W45</f>
        <v>0</v>
      </c>
      <c r="Y45" s="7">
        <f>'Expenses-YTD Aug 2001'!Y45+'Expenses-Sep-Dec 2001'!Y45</f>
        <v>0</v>
      </c>
      <c r="AA45" s="7">
        <f>'Expenses-YTD Aug 2001'!AA45+'Expenses-Sep-Dec 2001'!AA45</f>
        <v>0</v>
      </c>
      <c r="AC45" s="7">
        <f>'Expenses-YTD Aug 2001'!AC45+'Expenses-Sep-Dec 2001'!AC45</f>
        <v>0</v>
      </c>
      <c r="AE45" s="7">
        <f>'Expenses-YTD Aug 2001'!AE45+'Expenses-Sep-Dec 2001'!AE45</f>
        <v>0</v>
      </c>
      <c r="AF45" s="7"/>
      <c r="AG45" s="7">
        <f>'Expenses-YTD Aug 2001'!AG45+'Expenses-Sep-Dec 2001'!AG45</f>
        <v>0</v>
      </c>
      <c r="AH45" s="7"/>
      <c r="AI45" s="7">
        <f>'Expenses-YTD Aug 2001'!AI45+'Expenses-Sep-Dec 2001'!AI45</f>
        <v>0</v>
      </c>
      <c r="AJ45" s="7"/>
      <c r="AK45" s="7">
        <f>'Expenses-YTD Aug 2001'!AK45+'Expenses-Sep-Dec 2001'!AK45</f>
        <v>0</v>
      </c>
      <c r="AL45" s="7"/>
      <c r="AM45" s="7">
        <f>'Expenses-YTD Aug 2001'!AM45+'Expenses-Sep-Dec 2001'!AM45</f>
        <v>0</v>
      </c>
    </row>
    <row r="46" spans="1:39">
      <c r="A46" s="17" t="s">
        <v>72</v>
      </c>
      <c r="B46" s="17"/>
      <c r="C46" s="7">
        <f t="shared" si="1"/>
        <v>13532</v>
      </c>
      <c r="E46" s="7">
        <f>'Expenses-YTD Aug 2001'!E46+'Expenses-Sep-Dec 2001'!E46</f>
        <v>0</v>
      </c>
      <c r="F46" s="7"/>
      <c r="G46" s="7">
        <f>'Expenses-YTD Aug 2001'!G46+'Expenses-Sep-Dec 2001'!G46</f>
        <v>0</v>
      </c>
      <c r="H46" s="7"/>
      <c r="I46" s="7">
        <f>'Expenses-YTD Aug 2001'!I46+'Expenses-Sep-Dec 2001'!I46</f>
        <v>0</v>
      </c>
      <c r="J46" s="7"/>
      <c r="K46" s="7">
        <f>'Expenses-YTD Aug 2001'!K46+'Expenses-Sep-Dec 2001'!K46</f>
        <v>0</v>
      </c>
      <c r="L46" s="7"/>
      <c r="M46" s="7">
        <f>'Expenses-YTD Aug 2001'!M46+'Expenses-Sep-Dec 2001'!M46</f>
        <v>0</v>
      </c>
      <c r="N46" s="7"/>
      <c r="O46" s="7">
        <f>'Expenses-YTD Aug 2001'!O46+'Expenses-Sep-Dec 2001'!O46</f>
        <v>0</v>
      </c>
      <c r="P46" s="7"/>
      <c r="Q46" s="7">
        <f>'Expenses-YTD Aug 2001'!Q46+'Expenses-Sep-Dec 2001'!Q46</f>
        <v>0</v>
      </c>
      <c r="R46" s="7"/>
      <c r="S46" s="7">
        <f>'Expenses-YTD Aug 2001'!S46+'Expenses-Sep-Dec 2001'!S46</f>
        <v>0</v>
      </c>
      <c r="T46" s="7"/>
      <c r="U46" s="7">
        <f>'Expenses-YTD Aug 2001'!U46+'Expenses-Sep-Dec 2001'!U46</f>
        <v>0</v>
      </c>
      <c r="W46" s="7">
        <f>'Expenses-YTD Aug 2001'!W46+'Expenses-Sep-Dec 2001'!W46</f>
        <v>0</v>
      </c>
      <c r="Y46" s="7">
        <f>'Expenses-YTD Aug 2001'!Y46+'Expenses-Sep-Dec 2001'!Y46</f>
        <v>0</v>
      </c>
      <c r="AA46" s="7">
        <f>'Expenses-YTD Aug 2001'!AA46+'Expenses-Sep-Dec 2001'!AA46</f>
        <v>0</v>
      </c>
      <c r="AC46" s="7">
        <f>'Expenses-YTD Aug 2001'!AC46+'Expenses-Sep-Dec 2001'!AC46</f>
        <v>0</v>
      </c>
      <c r="AE46" s="7">
        <f>'Expenses-YTD Aug 2001'!AE46+'Expenses-Sep-Dec 2001'!AE46</f>
        <v>0</v>
      </c>
      <c r="AF46" s="7"/>
      <c r="AG46" s="7">
        <f>'Expenses-YTD Aug 2001'!AG46+'Expenses-Sep-Dec 2001'!AG46</f>
        <v>0</v>
      </c>
      <c r="AH46" s="7"/>
      <c r="AI46" s="7">
        <f>'Expenses-YTD Aug 2001'!AI46+'Expenses-Sep-Dec 2001'!AI46</f>
        <v>0</v>
      </c>
      <c r="AJ46" s="7"/>
      <c r="AK46" s="7">
        <f>'Expenses-YTD Aug 2001'!AK46+'Expenses-Sep-Dec 2001'!AK46</f>
        <v>0</v>
      </c>
      <c r="AL46" s="7"/>
      <c r="AM46" s="7">
        <f>'Expenses-YTD Aug 2001'!AM46+'Expenses-Sep-Dec 2001'!AM46</f>
        <v>13532</v>
      </c>
    </row>
    <row r="47" spans="1:39">
      <c r="A47" s="17" t="s">
        <v>73</v>
      </c>
      <c r="B47" s="17"/>
      <c r="C47" s="7">
        <f t="shared" si="1"/>
        <v>16753</v>
      </c>
      <c r="E47" s="7">
        <f>'Expenses-YTD Aug 2001'!E47+'Expenses-Sep-Dec 2001'!E47</f>
        <v>0</v>
      </c>
      <c r="F47" s="7"/>
      <c r="G47" s="7">
        <f>'Expenses-YTD Aug 2001'!G47+'Expenses-Sep-Dec 2001'!G47</f>
        <v>0</v>
      </c>
      <c r="H47" s="7"/>
      <c r="I47" s="7">
        <f>'Expenses-YTD Aug 2001'!I47+'Expenses-Sep-Dec 2001'!I47</f>
        <v>0</v>
      </c>
      <c r="J47" s="7"/>
      <c r="K47" s="7">
        <f>'Expenses-YTD Aug 2001'!K47+'Expenses-Sep-Dec 2001'!K47</f>
        <v>0</v>
      </c>
      <c r="L47" s="7"/>
      <c r="M47" s="7">
        <f>'Expenses-YTD Aug 2001'!M47+'Expenses-Sep-Dec 2001'!M47</f>
        <v>0</v>
      </c>
      <c r="N47" s="7"/>
      <c r="O47" s="7">
        <f>'Expenses-YTD Aug 2001'!O47+'Expenses-Sep-Dec 2001'!O47</f>
        <v>0</v>
      </c>
      <c r="P47" s="7"/>
      <c r="Q47" s="7">
        <f>'Expenses-YTD Aug 2001'!Q47+'Expenses-Sep-Dec 2001'!Q47</f>
        <v>0</v>
      </c>
      <c r="R47" s="7"/>
      <c r="S47" s="7">
        <f>'Expenses-YTD Aug 2001'!S47+'Expenses-Sep-Dec 2001'!S47</f>
        <v>0</v>
      </c>
      <c r="T47" s="7"/>
      <c r="U47" s="7">
        <f>'Expenses-YTD Aug 2001'!U47+'Expenses-Sep-Dec 2001'!U47</f>
        <v>0</v>
      </c>
      <c r="W47" s="7">
        <f>'Expenses-YTD Aug 2001'!W47+'Expenses-Sep-Dec 2001'!W47</f>
        <v>0</v>
      </c>
      <c r="Y47" s="7">
        <f>'Expenses-YTD Aug 2001'!Y47+'Expenses-Sep-Dec 2001'!Y47</f>
        <v>0</v>
      </c>
      <c r="AA47" s="7">
        <f>'Expenses-YTD Aug 2001'!AA47+'Expenses-Sep-Dec 2001'!AA47</f>
        <v>0</v>
      </c>
      <c r="AC47" s="7">
        <f>'Expenses-YTD Aug 2001'!AC47+'Expenses-Sep-Dec 2001'!AC47</f>
        <v>0</v>
      </c>
      <c r="AE47" s="7">
        <f>'Expenses-YTD Aug 2001'!AE47+'Expenses-Sep-Dec 2001'!AE47</f>
        <v>0</v>
      </c>
      <c r="AF47" s="7"/>
      <c r="AG47" s="7">
        <f>'Expenses-YTD Aug 2001'!AG47+'Expenses-Sep-Dec 2001'!AG47</f>
        <v>0</v>
      </c>
      <c r="AH47" s="7"/>
      <c r="AI47" s="7">
        <f>'Expenses-YTD Aug 2001'!AI47+'Expenses-Sep-Dec 2001'!AI47</f>
        <v>0</v>
      </c>
      <c r="AJ47" s="7"/>
      <c r="AK47" s="7">
        <f>'Expenses-YTD Aug 2001'!AK47+'Expenses-Sep-Dec 2001'!AK47</f>
        <v>0</v>
      </c>
      <c r="AL47" s="7"/>
      <c r="AM47" s="7">
        <f>'Expenses-YTD Aug 2001'!AM47+'Expenses-Sep-Dec 2001'!AM47</f>
        <v>16753</v>
      </c>
    </row>
    <row r="48" spans="1:39">
      <c r="A48" s="17" t="s">
        <v>74</v>
      </c>
      <c r="B48" s="17"/>
      <c r="C48" s="7">
        <f t="shared" si="1"/>
        <v>14326</v>
      </c>
      <c r="E48" s="7">
        <f>'Expenses-YTD Aug 2001'!E48+'Expenses-Sep-Dec 2001'!E48</f>
        <v>0</v>
      </c>
      <c r="F48" s="7"/>
      <c r="G48" s="7">
        <f>'Expenses-YTD Aug 2001'!G48+'Expenses-Sep-Dec 2001'!G48</f>
        <v>0</v>
      </c>
      <c r="H48" s="7"/>
      <c r="I48" s="7">
        <f>'Expenses-YTD Aug 2001'!I48+'Expenses-Sep-Dec 2001'!I48</f>
        <v>0</v>
      </c>
      <c r="J48" s="7"/>
      <c r="K48" s="7">
        <f>'Expenses-YTD Aug 2001'!K48+'Expenses-Sep-Dec 2001'!K48</f>
        <v>0</v>
      </c>
      <c r="L48" s="7"/>
      <c r="M48" s="7">
        <f>'Expenses-YTD Aug 2001'!M48+'Expenses-Sep-Dec 2001'!M48</f>
        <v>0</v>
      </c>
      <c r="N48" s="7"/>
      <c r="O48" s="7">
        <f>'Expenses-YTD Aug 2001'!O48+'Expenses-Sep-Dec 2001'!O48</f>
        <v>0</v>
      </c>
      <c r="P48" s="7"/>
      <c r="Q48" s="7">
        <f>'Expenses-YTD Aug 2001'!Q48+'Expenses-Sep-Dec 2001'!Q48</f>
        <v>0</v>
      </c>
      <c r="R48" s="7"/>
      <c r="S48" s="7">
        <f>'Expenses-YTD Aug 2001'!S48+'Expenses-Sep-Dec 2001'!S48</f>
        <v>0</v>
      </c>
      <c r="T48" s="7"/>
      <c r="U48" s="7">
        <f>'Expenses-YTD Aug 2001'!U48+'Expenses-Sep-Dec 2001'!U48</f>
        <v>0</v>
      </c>
      <c r="W48" s="7">
        <f>'Expenses-YTD Aug 2001'!W48+'Expenses-Sep-Dec 2001'!W48</f>
        <v>0</v>
      </c>
      <c r="Y48" s="7">
        <f>'Expenses-YTD Aug 2001'!Y48+'Expenses-Sep-Dec 2001'!Y48</f>
        <v>0</v>
      </c>
      <c r="AA48" s="7">
        <f>'Expenses-YTD Aug 2001'!AA48+'Expenses-Sep-Dec 2001'!AA48</f>
        <v>0</v>
      </c>
      <c r="AC48" s="7">
        <f>'Expenses-YTD Aug 2001'!AC48+'Expenses-Sep-Dec 2001'!AC48</f>
        <v>0</v>
      </c>
      <c r="AE48" s="7">
        <f>'Expenses-YTD Aug 2001'!AE48+'Expenses-Sep-Dec 2001'!AE48</f>
        <v>0</v>
      </c>
      <c r="AF48" s="7"/>
      <c r="AG48" s="7">
        <f>'Expenses-YTD Aug 2001'!AG48+'Expenses-Sep-Dec 2001'!AG48</f>
        <v>0</v>
      </c>
      <c r="AH48" s="7"/>
      <c r="AI48" s="7">
        <f>'Expenses-YTD Aug 2001'!AI48+'Expenses-Sep-Dec 2001'!AI48</f>
        <v>0</v>
      </c>
      <c r="AJ48" s="7"/>
      <c r="AK48" s="7">
        <f>'Expenses-YTD Aug 2001'!AK48+'Expenses-Sep-Dec 2001'!AK48</f>
        <v>0</v>
      </c>
      <c r="AL48" s="7"/>
      <c r="AM48" s="7">
        <f>'Expenses-YTD Aug 2001'!AM48+'Expenses-Sep-Dec 2001'!AM48</f>
        <v>14326</v>
      </c>
    </row>
    <row r="49" spans="1:41">
      <c r="A49" s="17" t="s">
        <v>75</v>
      </c>
      <c r="B49" s="17"/>
      <c r="C49" s="7">
        <f t="shared" si="1"/>
        <v>24654</v>
      </c>
      <c r="E49" s="7">
        <f>'Expenses-YTD Aug 2001'!E49+'Expenses-Sep-Dec 2001'!E49</f>
        <v>0</v>
      </c>
      <c r="F49" s="7"/>
      <c r="G49" s="7">
        <f>'Expenses-YTD Aug 2001'!G49+'Expenses-Sep-Dec 2001'!G49</f>
        <v>0</v>
      </c>
      <c r="H49" s="7"/>
      <c r="I49" s="7">
        <f>'Expenses-YTD Aug 2001'!I49+'Expenses-Sep-Dec 2001'!I49</f>
        <v>0</v>
      </c>
      <c r="J49" s="7"/>
      <c r="K49" s="7">
        <f>'Expenses-YTD Aug 2001'!K49+'Expenses-Sep-Dec 2001'!K49</f>
        <v>0</v>
      </c>
      <c r="L49" s="7"/>
      <c r="M49" s="7">
        <f>'Expenses-YTD Aug 2001'!M49+'Expenses-Sep-Dec 2001'!M49</f>
        <v>0</v>
      </c>
      <c r="N49" s="7"/>
      <c r="O49" s="7">
        <f>'Expenses-YTD Aug 2001'!O49+'Expenses-Sep-Dec 2001'!O49</f>
        <v>0</v>
      </c>
      <c r="P49" s="7"/>
      <c r="Q49" s="7">
        <f>'Expenses-YTD Aug 2001'!Q49+'Expenses-Sep-Dec 2001'!Q49</f>
        <v>0</v>
      </c>
      <c r="R49" s="7"/>
      <c r="S49" s="7">
        <f>'Expenses-YTD Aug 2001'!S49+'Expenses-Sep-Dec 2001'!S49</f>
        <v>0</v>
      </c>
      <c r="T49" s="7"/>
      <c r="U49" s="7">
        <f>'Expenses-YTD Aug 2001'!U49+'Expenses-Sep-Dec 2001'!U49</f>
        <v>0</v>
      </c>
      <c r="W49" s="7">
        <f>'Expenses-YTD Aug 2001'!W49+'Expenses-Sep-Dec 2001'!W49</f>
        <v>0</v>
      </c>
      <c r="Y49" s="7">
        <f>'Expenses-YTD Aug 2001'!Y49+'Expenses-Sep-Dec 2001'!Y49</f>
        <v>0</v>
      </c>
      <c r="AA49" s="7">
        <f>'Expenses-YTD Aug 2001'!AA49+'Expenses-Sep-Dec 2001'!AA49</f>
        <v>0</v>
      </c>
      <c r="AC49" s="7">
        <f>'Expenses-YTD Aug 2001'!AC49+'Expenses-Sep-Dec 2001'!AC49</f>
        <v>0</v>
      </c>
      <c r="AE49" s="7">
        <f>'Expenses-YTD Aug 2001'!AE49+'Expenses-Sep-Dec 2001'!AE49</f>
        <v>0</v>
      </c>
      <c r="AF49" s="7"/>
      <c r="AG49" s="7">
        <f>'Expenses-YTD Aug 2001'!AG49+'Expenses-Sep-Dec 2001'!AG49</f>
        <v>0</v>
      </c>
      <c r="AH49" s="7"/>
      <c r="AI49" s="7">
        <f>'Expenses-YTD Aug 2001'!AI49+'Expenses-Sep-Dec 2001'!AI49</f>
        <v>0</v>
      </c>
      <c r="AJ49" s="7"/>
      <c r="AK49" s="7">
        <f>'Expenses-YTD Aug 2001'!AK49+'Expenses-Sep-Dec 2001'!AK49</f>
        <v>0</v>
      </c>
      <c r="AL49" s="7"/>
      <c r="AM49" s="7">
        <f>'Expenses-YTD Aug 2001'!AM49+'Expenses-Sep-Dec 2001'!AM49</f>
        <v>24654</v>
      </c>
    </row>
    <row r="50" spans="1:41">
      <c r="A50" s="17" t="s">
        <v>76</v>
      </c>
      <c r="B50" s="17"/>
      <c r="C50" s="7">
        <f t="shared" si="1"/>
        <v>12587</v>
      </c>
      <c r="E50" s="7">
        <f>'Expenses-YTD Aug 2001'!E50+'Expenses-Sep-Dec 2001'!E50</f>
        <v>0</v>
      </c>
      <c r="F50" s="7"/>
      <c r="G50" s="7">
        <f>'Expenses-YTD Aug 2001'!G50+'Expenses-Sep-Dec 2001'!G50</f>
        <v>0</v>
      </c>
      <c r="H50" s="7"/>
      <c r="I50" s="7">
        <f>'Expenses-YTD Aug 2001'!I50+'Expenses-Sep-Dec 2001'!I50</f>
        <v>0</v>
      </c>
      <c r="J50" s="7"/>
      <c r="K50" s="7">
        <f>'Expenses-YTD Aug 2001'!K50+'Expenses-Sep-Dec 2001'!K50</f>
        <v>0</v>
      </c>
      <c r="L50" s="7"/>
      <c r="M50" s="7">
        <f>'Expenses-YTD Aug 2001'!M50+'Expenses-Sep-Dec 2001'!M50</f>
        <v>0</v>
      </c>
      <c r="N50" s="7"/>
      <c r="O50" s="7">
        <f>'Expenses-YTD Aug 2001'!O50+'Expenses-Sep-Dec 2001'!O50</f>
        <v>0</v>
      </c>
      <c r="P50" s="7"/>
      <c r="Q50" s="7">
        <f>'Expenses-YTD Aug 2001'!Q50+'Expenses-Sep-Dec 2001'!Q50</f>
        <v>0</v>
      </c>
      <c r="R50" s="7"/>
      <c r="S50" s="7">
        <f>'Expenses-YTD Aug 2001'!S50+'Expenses-Sep-Dec 2001'!S50</f>
        <v>0</v>
      </c>
      <c r="T50" s="7"/>
      <c r="U50" s="7">
        <f>'Expenses-YTD Aug 2001'!U50+'Expenses-Sep-Dec 2001'!U50</f>
        <v>0</v>
      </c>
      <c r="W50" s="7">
        <f>'Expenses-YTD Aug 2001'!W50+'Expenses-Sep-Dec 2001'!W50</f>
        <v>0</v>
      </c>
      <c r="Y50" s="7">
        <f>'Expenses-YTD Aug 2001'!Y50+'Expenses-Sep-Dec 2001'!Y50</f>
        <v>0</v>
      </c>
      <c r="AA50" s="7">
        <f>'Expenses-YTD Aug 2001'!AA50+'Expenses-Sep-Dec 2001'!AA50</f>
        <v>0</v>
      </c>
      <c r="AC50" s="7">
        <f>'Expenses-YTD Aug 2001'!AC50+'Expenses-Sep-Dec 2001'!AC50</f>
        <v>0</v>
      </c>
      <c r="AE50" s="7">
        <f>'Expenses-YTD Aug 2001'!AE50+'Expenses-Sep-Dec 2001'!AE50</f>
        <v>0</v>
      </c>
      <c r="AF50" s="7"/>
      <c r="AG50" s="7">
        <f>'Expenses-YTD Aug 2001'!AG50+'Expenses-Sep-Dec 2001'!AG50</f>
        <v>0</v>
      </c>
      <c r="AH50" s="7"/>
      <c r="AI50" s="7">
        <f>'Expenses-YTD Aug 2001'!AI50+'Expenses-Sep-Dec 2001'!AI50</f>
        <v>0</v>
      </c>
      <c r="AJ50" s="7"/>
      <c r="AK50" s="7">
        <f>'Expenses-YTD Aug 2001'!AK50+'Expenses-Sep-Dec 2001'!AK50</f>
        <v>0</v>
      </c>
      <c r="AL50" s="7"/>
      <c r="AM50" s="7">
        <f>'Expenses-YTD Aug 2001'!AM50+'Expenses-Sep-Dec 2001'!AM50</f>
        <v>12587</v>
      </c>
    </row>
    <row r="51" spans="1:41">
      <c r="A51" s="17" t="s">
        <v>77</v>
      </c>
      <c r="B51" s="17"/>
      <c r="C51" s="7">
        <f t="shared" si="1"/>
        <v>51714</v>
      </c>
      <c r="E51" s="7">
        <f>'Expenses-YTD Aug 2001'!E51+'Expenses-Sep-Dec 2001'!E51</f>
        <v>0</v>
      </c>
      <c r="F51" s="7"/>
      <c r="G51" s="7">
        <f>'Expenses-YTD Aug 2001'!G51+'Expenses-Sep-Dec 2001'!G51</f>
        <v>0</v>
      </c>
      <c r="H51" s="7"/>
      <c r="I51" s="7">
        <f>'Expenses-YTD Aug 2001'!I51+'Expenses-Sep-Dec 2001'!I51</f>
        <v>0</v>
      </c>
      <c r="J51" s="7"/>
      <c r="K51" s="7">
        <f>'Expenses-YTD Aug 2001'!K51+'Expenses-Sep-Dec 2001'!K51</f>
        <v>0</v>
      </c>
      <c r="L51" s="7"/>
      <c r="M51" s="7">
        <f>'Expenses-YTD Aug 2001'!M51+'Expenses-Sep-Dec 2001'!M51</f>
        <v>0</v>
      </c>
      <c r="N51" s="7"/>
      <c r="O51" s="7">
        <f>'Expenses-YTD Aug 2001'!O51+'Expenses-Sep-Dec 2001'!O51</f>
        <v>0</v>
      </c>
      <c r="P51" s="7"/>
      <c r="Q51" s="7">
        <f>'Expenses-YTD Aug 2001'!Q51+'Expenses-Sep-Dec 2001'!Q51</f>
        <v>0</v>
      </c>
      <c r="R51" s="7"/>
      <c r="S51" s="7">
        <f>'Expenses-YTD Aug 2001'!S51+'Expenses-Sep-Dec 2001'!S51</f>
        <v>0</v>
      </c>
      <c r="T51" s="7"/>
      <c r="U51" s="7">
        <f>'Expenses-YTD Aug 2001'!U51+'Expenses-Sep-Dec 2001'!U51</f>
        <v>0</v>
      </c>
      <c r="W51" s="7">
        <f>'Expenses-YTD Aug 2001'!W51+'Expenses-Sep-Dec 2001'!W51</f>
        <v>0</v>
      </c>
      <c r="Y51" s="7">
        <f>'Expenses-YTD Aug 2001'!Y51+'Expenses-Sep-Dec 2001'!Y51</f>
        <v>0</v>
      </c>
      <c r="AA51" s="7">
        <f>'Expenses-YTD Aug 2001'!AA51+'Expenses-Sep-Dec 2001'!AA51</f>
        <v>0</v>
      </c>
      <c r="AC51" s="7">
        <f>'Expenses-YTD Aug 2001'!AC51+'Expenses-Sep-Dec 2001'!AC51</f>
        <v>0</v>
      </c>
      <c r="AE51" s="7">
        <f>'Expenses-YTD Aug 2001'!AE51+'Expenses-Sep-Dec 2001'!AE51</f>
        <v>0</v>
      </c>
      <c r="AF51" s="7"/>
      <c r="AG51" s="7">
        <f>'Expenses-YTD Aug 2001'!AG51+'Expenses-Sep-Dec 2001'!AG51</f>
        <v>0</v>
      </c>
      <c r="AH51" s="7"/>
      <c r="AI51" s="7">
        <f>'Expenses-YTD Aug 2001'!AI51+'Expenses-Sep-Dec 2001'!AI51</f>
        <v>0</v>
      </c>
      <c r="AJ51" s="7"/>
      <c r="AK51" s="7">
        <f>'Expenses-YTD Aug 2001'!AK51+'Expenses-Sep-Dec 2001'!AK51</f>
        <v>0</v>
      </c>
      <c r="AL51" s="7"/>
      <c r="AM51" s="7">
        <f>'Expenses-YTD Aug 2001'!AM51+'Expenses-Sep-Dec 2001'!AM51</f>
        <v>51714</v>
      </c>
    </row>
    <row r="52" spans="1:41" s="3" customFormat="1">
      <c r="A52" s="18" t="s">
        <v>78</v>
      </c>
      <c r="B52" s="18"/>
      <c r="C52" s="7">
        <f t="shared" si="1"/>
        <v>22588</v>
      </c>
      <c r="E52" s="7">
        <f>'Expenses-YTD Aug 2001'!E52+'Expenses-Sep-Dec 2001'!E52</f>
        <v>0</v>
      </c>
      <c r="F52" s="7"/>
      <c r="G52" s="7">
        <f>'Expenses-YTD Aug 2001'!G52+'Expenses-Sep-Dec 2001'!G52</f>
        <v>0</v>
      </c>
      <c r="H52" s="7"/>
      <c r="I52" s="7">
        <f>'Expenses-YTD Aug 2001'!I52+'Expenses-Sep-Dec 2001'!I52</f>
        <v>0</v>
      </c>
      <c r="J52" s="7"/>
      <c r="K52" s="7">
        <f>'Expenses-YTD Aug 2001'!K52+'Expenses-Sep-Dec 2001'!K52</f>
        <v>0</v>
      </c>
      <c r="L52" s="7"/>
      <c r="M52" s="7">
        <f>'Expenses-YTD Aug 2001'!M52+'Expenses-Sep-Dec 2001'!M52</f>
        <v>0</v>
      </c>
      <c r="N52" s="7"/>
      <c r="O52" s="7">
        <f>'Expenses-YTD Aug 2001'!O52+'Expenses-Sep-Dec 2001'!O52</f>
        <v>0</v>
      </c>
      <c r="P52" s="7"/>
      <c r="Q52" s="7">
        <f>'Expenses-YTD Aug 2001'!Q52+'Expenses-Sep-Dec 2001'!Q52</f>
        <v>0</v>
      </c>
      <c r="R52" s="7"/>
      <c r="S52" s="7">
        <f>'Expenses-YTD Aug 2001'!S52+'Expenses-Sep-Dec 2001'!S52</f>
        <v>0</v>
      </c>
      <c r="T52" s="7"/>
      <c r="U52" s="7">
        <f>'Expenses-YTD Aug 2001'!U52+'Expenses-Sep-Dec 2001'!U52</f>
        <v>0</v>
      </c>
      <c r="V52" s="1"/>
      <c r="W52" s="7">
        <f>'Expenses-YTD Aug 2001'!W52+'Expenses-Sep-Dec 2001'!W52</f>
        <v>0</v>
      </c>
      <c r="X52" s="1"/>
      <c r="Y52" s="7">
        <f>'Expenses-YTD Aug 2001'!Y52+'Expenses-Sep-Dec 2001'!Y52</f>
        <v>0</v>
      </c>
      <c r="Z52" s="1"/>
      <c r="AA52" s="7">
        <f>'Expenses-YTD Aug 2001'!AA52+'Expenses-Sep-Dec 2001'!AA52</f>
        <v>0</v>
      </c>
      <c r="AB52" s="1"/>
      <c r="AC52" s="7">
        <f>'Expenses-YTD Aug 2001'!AC52+'Expenses-Sep-Dec 2001'!AC52</f>
        <v>0</v>
      </c>
      <c r="AD52" s="1"/>
      <c r="AE52" s="7">
        <f>'Expenses-YTD Aug 2001'!AE52+'Expenses-Sep-Dec 2001'!AE52</f>
        <v>0</v>
      </c>
      <c r="AF52" s="7"/>
      <c r="AG52" s="7">
        <f>'Expenses-YTD Aug 2001'!AG52+'Expenses-Sep-Dec 2001'!AG52</f>
        <v>0</v>
      </c>
      <c r="AH52" s="7"/>
      <c r="AI52" s="7">
        <f>'Expenses-YTD Aug 2001'!AI52+'Expenses-Sep-Dec 2001'!AI52</f>
        <v>0</v>
      </c>
      <c r="AJ52" s="7"/>
      <c r="AK52" s="7">
        <f>'Expenses-YTD Aug 2001'!AK52+'Expenses-Sep-Dec 2001'!AK52</f>
        <v>0</v>
      </c>
      <c r="AL52" s="7"/>
      <c r="AM52" s="7">
        <f>'Expenses-YTD Aug 2001'!AM52+'Expenses-Sep-Dec 2001'!AM52</f>
        <v>22588</v>
      </c>
      <c r="AO52" s="19"/>
    </row>
    <row r="53" spans="1:41" s="3" customFormat="1">
      <c r="A53" s="20" t="s">
        <v>79</v>
      </c>
      <c r="B53" s="18"/>
      <c r="C53" s="7">
        <f t="shared" si="1"/>
        <v>129967</v>
      </c>
      <c r="E53" s="7">
        <f>'Expenses-YTD Aug 2001'!E53+'Expenses-Sep-Dec 2001'!E53</f>
        <v>0</v>
      </c>
      <c r="F53" s="7"/>
      <c r="G53" s="7">
        <f>'Expenses-YTD Aug 2001'!G53+'Expenses-Sep-Dec 2001'!G53</f>
        <v>0</v>
      </c>
      <c r="H53" s="7"/>
      <c r="I53" s="7">
        <f>'Expenses-YTD Aug 2001'!I53+'Expenses-Sep-Dec 2001'!I53</f>
        <v>0</v>
      </c>
      <c r="J53" s="7"/>
      <c r="K53" s="7">
        <f>'Expenses-YTD Aug 2001'!K53+'Expenses-Sep-Dec 2001'!K53</f>
        <v>0</v>
      </c>
      <c r="L53" s="7"/>
      <c r="M53" s="7">
        <f>'Expenses-YTD Aug 2001'!M53+'Expenses-Sep-Dec 2001'!M53</f>
        <v>0</v>
      </c>
      <c r="N53" s="7"/>
      <c r="O53" s="7">
        <f>'Expenses-YTD Aug 2001'!O53+'Expenses-Sep-Dec 2001'!O53</f>
        <v>0</v>
      </c>
      <c r="P53" s="7"/>
      <c r="Q53" s="7">
        <f>'Expenses-YTD Aug 2001'!Q53+'Expenses-Sep-Dec 2001'!Q53</f>
        <v>0</v>
      </c>
      <c r="R53" s="7"/>
      <c r="S53" s="7">
        <f>'Expenses-YTD Aug 2001'!S53+'Expenses-Sep-Dec 2001'!S53</f>
        <v>0</v>
      </c>
      <c r="T53" s="7"/>
      <c r="U53" s="7">
        <f>'Expenses-YTD Aug 2001'!U53+'Expenses-Sep-Dec 2001'!U53</f>
        <v>0</v>
      </c>
      <c r="V53" s="1"/>
      <c r="W53" s="7">
        <f>'Expenses-YTD Aug 2001'!W53+'Expenses-Sep-Dec 2001'!W53</f>
        <v>0</v>
      </c>
      <c r="X53" s="1"/>
      <c r="Y53" s="7">
        <f>'Expenses-YTD Aug 2001'!Y53+'Expenses-Sep-Dec 2001'!Y53</f>
        <v>0</v>
      </c>
      <c r="Z53" s="1"/>
      <c r="AA53" s="7">
        <f>'Expenses-YTD Aug 2001'!AA53+'Expenses-Sep-Dec 2001'!AA53</f>
        <v>0</v>
      </c>
      <c r="AB53" s="1"/>
      <c r="AC53" s="7">
        <f>'Expenses-YTD Aug 2001'!AC53+'Expenses-Sep-Dec 2001'!AC53</f>
        <v>0</v>
      </c>
      <c r="AD53" s="1"/>
      <c r="AE53" s="7">
        <f>'Expenses-YTD Aug 2001'!AE53+'Expenses-Sep-Dec 2001'!AE53</f>
        <v>0</v>
      </c>
      <c r="AF53" s="7"/>
      <c r="AG53" s="7">
        <f>'Expenses-YTD Aug 2001'!AG53+'Expenses-Sep-Dec 2001'!AG53</f>
        <v>0</v>
      </c>
      <c r="AH53" s="7"/>
      <c r="AI53" s="7">
        <f>'Expenses-YTD Aug 2001'!AI53+'Expenses-Sep-Dec 2001'!AI53</f>
        <v>0</v>
      </c>
      <c r="AJ53" s="7"/>
      <c r="AK53" s="7">
        <f>'Expenses-YTD Aug 2001'!AK53+'Expenses-Sep-Dec 2001'!AK53</f>
        <v>0</v>
      </c>
      <c r="AL53" s="7"/>
      <c r="AM53" s="7">
        <f>'Expenses-YTD Aug 2001'!AM53+'Expenses-Sep-Dec 2001'!AM53</f>
        <v>129967</v>
      </c>
      <c r="AO53" s="19"/>
    </row>
    <row r="54" spans="1:41" s="3" customFormat="1">
      <c r="A54" s="20" t="s">
        <v>57</v>
      </c>
      <c r="B54" s="18"/>
      <c r="C54" s="7">
        <f t="shared" si="1"/>
        <v>-356243</v>
      </c>
      <c r="E54" s="7">
        <f>'Expenses-YTD Aug 2001'!E54+'Expenses-Sep-Dec 2001'!E54</f>
        <v>0</v>
      </c>
      <c r="F54" s="7"/>
      <c r="G54" s="7">
        <f>'Expenses-YTD Aug 2001'!G54+'Expenses-Sep-Dec 2001'!G54</f>
        <v>0</v>
      </c>
      <c r="H54" s="7"/>
      <c r="I54" s="7">
        <f>'Expenses-YTD Aug 2001'!I54+'Expenses-Sep-Dec 2001'!I54</f>
        <v>0</v>
      </c>
      <c r="J54" s="7"/>
      <c r="K54" s="7">
        <f>'Expenses-YTD Aug 2001'!K54+'Expenses-Sep-Dec 2001'!K54</f>
        <v>0</v>
      </c>
      <c r="L54" s="7"/>
      <c r="M54" s="7">
        <f>'Expenses-YTD Aug 2001'!M54+'Expenses-Sep-Dec 2001'!M54</f>
        <v>0</v>
      </c>
      <c r="N54" s="7"/>
      <c r="O54" s="7">
        <f>'Expenses-YTD Aug 2001'!O54+'Expenses-Sep-Dec 2001'!O54</f>
        <v>0</v>
      </c>
      <c r="P54" s="7"/>
      <c r="Q54" s="7">
        <f>'Expenses-YTD Aug 2001'!Q54+'Expenses-Sep-Dec 2001'!Q54</f>
        <v>0</v>
      </c>
      <c r="R54" s="7"/>
      <c r="S54" s="7">
        <f>'Expenses-YTD Aug 2001'!S54+'Expenses-Sep-Dec 2001'!S54</f>
        <v>0</v>
      </c>
      <c r="T54" s="7"/>
      <c r="U54" s="7">
        <f>'Expenses-YTD Aug 2001'!U54+'Expenses-Sep-Dec 2001'!U54</f>
        <v>0</v>
      </c>
      <c r="V54" s="1"/>
      <c r="W54" s="7">
        <f>'Expenses-YTD Aug 2001'!W54+'Expenses-Sep-Dec 2001'!W54</f>
        <v>0</v>
      </c>
      <c r="X54" s="1"/>
      <c r="Y54" s="7">
        <f>'Expenses-YTD Aug 2001'!Y54+'Expenses-Sep-Dec 2001'!Y54</f>
        <v>0</v>
      </c>
      <c r="Z54" s="1"/>
      <c r="AA54" s="7">
        <f>'Expenses-YTD Aug 2001'!AA54+'Expenses-Sep-Dec 2001'!AA54</f>
        <v>0</v>
      </c>
      <c r="AB54" s="1"/>
      <c r="AC54" s="7">
        <f>'Expenses-YTD Aug 2001'!AC54+'Expenses-Sep-Dec 2001'!AC54</f>
        <v>0</v>
      </c>
      <c r="AD54" s="1"/>
      <c r="AE54" s="7">
        <f>'Expenses-YTD Aug 2001'!AE54+'Expenses-Sep-Dec 2001'!AE54</f>
        <v>0</v>
      </c>
      <c r="AF54" s="7"/>
      <c r="AG54" s="7">
        <f>'Expenses-YTD Aug 2001'!AG54+'Expenses-Sep-Dec 2001'!AG54</f>
        <v>0</v>
      </c>
      <c r="AH54" s="7"/>
      <c r="AI54" s="7">
        <f>'Expenses-YTD Aug 2001'!AI54+'Expenses-Sep-Dec 2001'!AI54</f>
        <v>0</v>
      </c>
      <c r="AJ54" s="7"/>
      <c r="AK54" s="7">
        <f>'Expenses-YTD Aug 2001'!AK54+'Expenses-Sep-Dec 2001'!AK54</f>
        <v>0</v>
      </c>
      <c r="AL54" s="7"/>
      <c r="AM54" s="7">
        <f>'Expenses-YTD Aug 2001'!AM54+'Expenses-Sep-Dec 2001'!AM54</f>
        <v>-356243</v>
      </c>
      <c r="AO54" s="19"/>
    </row>
    <row r="55" spans="1:41" s="3" customFormat="1">
      <c r="A55" s="20" t="s">
        <v>80</v>
      </c>
      <c r="B55" s="18"/>
      <c r="C55" s="7">
        <f t="shared" si="1"/>
        <v>106325</v>
      </c>
      <c r="E55" s="7">
        <f>'Expenses-YTD Aug 2001'!E55+'Expenses-Sep-Dec 2001'!E55</f>
        <v>0</v>
      </c>
      <c r="F55" s="7"/>
      <c r="G55" s="7">
        <f>'Expenses-YTD Aug 2001'!G55+'Expenses-Sep-Dec 2001'!G55</f>
        <v>0</v>
      </c>
      <c r="H55" s="7"/>
      <c r="I55" s="7">
        <f>'Expenses-YTD Aug 2001'!I55+'Expenses-Sep-Dec 2001'!I55</f>
        <v>0</v>
      </c>
      <c r="J55" s="7"/>
      <c r="K55" s="7">
        <f>'Expenses-YTD Aug 2001'!K55+'Expenses-Sep-Dec 2001'!K55</f>
        <v>0</v>
      </c>
      <c r="L55" s="7"/>
      <c r="M55" s="7">
        <f>'Expenses-YTD Aug 2001'!M55+'Expenses-Sep-Dec 2001'!M55</f>
        <v>0</v>
      </c>
      <c r="N55" s="7"/>
      <c r="O55" s="7">
        <f>'Expenses-YTD Aug 2001'!O55+'Expenses-Sep-Dec 2001'!O55</f>
        <v>0</v>
      </c>
      <c r="P55" s="7"/>
      <c r="Q55" s="7">
        <f>'Expenses-YTD Aug 2001'!Q55+'Expenses-Sep-Dec 2001'!Q55</f>
        <v>0</v>
      </c>
      <c r="R55" s="7"/>
      <c r="S55" s="7">
        <f>'Expenses-YTD Aug 2001'!S55+'Expenses-Sep-Dec 2001'!S55</f>
        <v>0</v>
      </c>
      <c r="T55" s="7"/>
      <c r="U55" s="7">
        <f>'Expenses-YTD Aug 2001'!U55+'Expenses-Sep-Dec 2001'!U55</f>
        <v>0</v>
      </c>
      <c r="V55" s="1"/>
      <c r="W55" s="7">
        <f>'Expenses-YTD Aug 2001'!W55+'Expenses-Sep-Dec 2001'!W55</f>
        <v>0</v>
      </c>
      <c r="X55" s="1"/>
      <c r="Y55" s="7">
        <f>'Expenses-YTD Aug 2001'!Y55+'Expenses-Sep-Dec 2001'!Y55</f>
        <v>0</v>
      </c>
      <c r="Z55" s="1"/>
      <c r="AA55" s="7">
        <f>'Expenses-YTD Aug 2001'!AA55+'Expenses-Sep-Dec 2001'!AA55</f>
        <v>0</v>
      </c>
      <c r="AB55" s="1"/>
      <c r="AC55" s="7">
        <f>'Expenses-YTD Aug 2001'!AC55+'Expenses-Sep-Dec 2001'!AC55</f>
        <v>0</v>
      </c>
      <c r="AD55" s="1"/>
      <c r="AE55" s="7">
        <f>'Expenses-YTD Aug 2001'!AE55+'Expenses-Sep-Dec 2001'!AE55</f>
        <v>0</v>
      </c>
      <c r="AF55" s="7"/>
      <c r="AG55" s="7">
        <f>'Expenses-YTD Aug 2001'!AG55+'Expenses-Sep-Dec 2001'!AG55</f>
        <v>0</v>
      </c>
      <c r="AH55" s="7"/>
      <c r="AI55" s="7">
        <f>'Expenses-YTD Aug 2001'!AI55+'Expenses-Sep-Dec 2001'!AI55</f>
        <v>0</v>
      </c>
      <c r="AJ55" s="7"/>
      <c r="AK55" s="7">
        <f>'Expenses-YTD Aug 2001'!AK55+'Expenses-Sep-Dec 2001'!AK55</f>
        <v>0</v>
      </c>
      <c r="AL55" s="7"/>
      <c r="AM55" s="7">
        <f>'Expenses-YTD Aug 2001'!AM55+'Expenses-Sep-Dec 2001'!AM55</f>
        <v>106325</v>
      </c>
      <c r="AO55" s="19"/>
    </row>
    <row r="56" spans="1:41" s="3" customFormat="1">
      <c r="A56" s="20" t="s">
        <v>81</v>
      </c>
      <c r="B56" s="18"/>
      <c r="C56" s="7">
        <f t="shared" si="1"/>
        <v>21842</v>
      </c>
      <c r="E56" s="7">
        <f>'Expenses-YTD Aug 2001'!E56+'Expenses-Sep-Dec 2001'!E56</f>
        <v>0</v>
      </c>
      <c r="F56" s="7"/>
      <c r="G56" s="7">
        <f>'Expenses-YTD Aug 2001'!G56+'Expenses-Sep-Dec 2001'!G56</f>
        <v>0</v>
      </c>
      <c r="H56" s="7"/>
      <c r="I56" s="7">
        <f>'Expenses-YTD Aug 2001'!I56+'Expenses-Sep-Dec 2001'!I56</f>
        <v>0</v>
      </c>
      <c r="J56" s="7"/>
      <c r="K56" s="7">
        <f>'Expenses-YTD Aug 2001'!K56+'Expenses-Sep-Dec 2001'!K56</f>
        <v>0</v>
      </c>
      <c r="L56" s="7"/>
      <c r="M56" s="7">
        <f>'Expenses-YTD Aug 2001'!M56+'Expenses-Sep-Dec 2001'!M56</f>
        <v>0</v>
      </c>
      <c r="N56" s="7"/>
      <c r="O56" s="7">
        <f>'Expenses-YTD Aug 2001'!O56+'Expenses-Sep-Dec 2001'!O56</f>
        <v>0</v>
      </c>
      <c r="P56" s="7"/>
      <c r="Q56" s="7">
        <f>'Expenses-YTD Aug 2001'!Q56+'Expenses-Sep-Dec 2001'!Q56</f>
        <v>0</v>
      </c>
      <c r="R56" s="7"/>
      <c r="S56" s="7">
        <f>'Expenses-YTD Aug 2001'!S56+'Expenses-Sep-Dec 2001'!S56</f>
        <v>0</v>
      </c>
      <c r="T56" s="7"/>
      <c r="U56" s="7">
        <f>'Expenses-YTD Aug 2001'!U56+'Expenses-Sep-Dec 2001'!U56</f>
        <v>0</v>
      </c>
      <c r="V56" s="1"/>
      <c r="W56" s="7">
        <f>'Expenses-YTD Aug 2001'!W56+'Expenses-Sep-Dec 2001'!W56</f>
        <v>0</v>
      </c>
      <c r="X56" s="1"/>
      <c r="Y56" s="7">
        <f>'Expenses-YTD Aug 2001'!Y56+'Expenses-Sep-Dec 2001'!Y56</f>
        <v>0</v>
      </c>
      <c r="Z56" s="1"/>
      <c r="AA56" s="7">
        <f>'Expenses-YTD Aug 2001'!AA56+'Expenses-Sep-Dec 2001'!AA56</f>
        <v>0</v>
      </c>
      <c r="AB56" s="1"/>
      <c r="AC56" s="7">
        <f>'Expenses-YTD Aug 2001'!AC56+'Expenses-Sep-Dec 2001'!AC56</f>
        <v>0</v>
      </c>
      <c r="AD56" s="1"/>
      <c r="AE56" s="7">
        <f>'Expenses-YTD Aug 2001'!AE56+'Expenses-Sep-Dec 2001'!AE56</f>
        <v>0</v>
      </c>
      <c r="AF56" s="7"/>
      <c r="AG56" s="7">
        <f>'Expenses-YTD Aug 2001'!AG56+'Expenses-Sep-Dec 2001'!AG56</f>
        <v>0</v>
      </c>
      <c r="AH56" s="7"/>
      <c r="AI56" s="7">
        <f>'Expenses-YTD Aug 2001'!AI56+'Expenses-Sep-Dec 2001'!AI56</f>
        <v>0</v>
      </c>
      <c r="AJ56" s="7"/>
      <c r="AK56" s="7">
        <f>'Expenses-YTD Aug 2001'!AK56+'Expenses-Sep-Dec 2001'!AK56</f>
        <v>0</v>
      </c>
      <c r="AL56" s="7"/>
      <c r="AM56" s="7">
        <f>'Expenses-YTD Aug 2001'!AM56+'Expenses-Sep-Dec 2001'!AM56</f>
        <v>21842</v>
      </c>
      <c r="AO56" s="19"/>
    </row>
    <row r="57" spans="1:41" s="3" customFormat="1">
      <c r="A57" s="20" t="s">
        <v>36</v>
      </c>
      <c r="B57" s="18"/>
      <c r="C57" s="7">
        <f t="shared" si="1"/>
        <v>43745</v>
      </c>
      <c r="E57" s="7">
        <f>'Expenses-YTD Aug 2001'!E57+'Expenses-Sep-Dec 2001'!E57</f>
        <v>0</v>
      </c>
      <c r="F57" s="7"/>
      <c r="G57" s="7">
        <f>'Expenses-YTD Aug 2001'!G57+'Expenses-Sep-Dec 2001'!G57</f>
        <v>0</v>
      </c>
      <c r="H57" s="7"/>
      <c r="I57" s="7">
        <f>'Expenses-YTD Aug 2001'!I57+'Expenses-Sep-Dec 2001'!I57</f>
        <v>0</v>
      </c>
      <c r="J57" s="7"/>
      <c r="K57" s="7">
        <f>'Expenses-YTD Aug 2001'!K57+'Expenses-Sep-Dec 2001'!K57</f>
        <v>0</v>
      </c>
      <c r="L57" s="7"/>
      <c r="M57" s="7">
        <f>'Expenses-YTD Aug 2001'!M57+'Expenses-Sep-Dec 2001'!M57</f>
        <v>0</v>
      </c>
      <c r="N57" s="7"/>
      <c r="O57" s="7">
        <f>'Expenses-YTD Aug 2001'!O57+'Expenses-Sep-Dec 2001'!O57</f>
        <v>0</v>
      </c>
      <c r="P57" s="7"/>
      <c r="Q57" s="7">
        <f>'Expenses-YTD Aug 2001'!Q57+'Expenses-Sep-Dec 2001'!Q57</f>
        <v>0</v>
      </c>
      <c r="R57" s="7"/>
      <c r="S57" s="7">
        <f>'Expenses-YTD Aug 2001'!S57+'Expenses-Sep-Dec 2001'!S57</f>
        <v>0</v>
      </c>
      <c r="T57" s="7"/>
      <c r="U57" s="7">
        <f>'Expenses-YTD Aug 2001'!U57+'Expenses-Sep-Dec 2001'!U57</f>
        <v>0</v>
      </c>
      <c r="V57" s="1"/>
      <c r="W57" s="7">
        <f>'Expenses-YTD Aug 2001'!W57+'Expenses-Sep-Dec 2001'!W57</f>
        <v>0</v>
      </c>
      <c r="X57" s="1"/>
      <c r="Y57" s="7">
        <f>'Expenses-YTD Aug 2001'!Y57+'Expenses-Sep-Dec 2001'!Y57</f>
        <v>0</v>
      </c>
      <c r="Z57" s="1"/>
      <c r="AA57" s="7">
        <f>'Expenses-YTD Aug 2001'!AA57+'Expenses-Sep-Dec 2001'!AA57</f>
        <v>0</v>
      </c>
      <c r="AB57" s="1"/>
      <c r="AC57" s="7">
        <f>'Expenses-YTD Aug 2001'!AC57+'Expenses-Sep-Dec 2001'!AC57</f>
        <v>0</v>
      </c>
      <c r="AD57" s="1"/>
      <c r="AE57" s="7">
        <f>'Expenses-YTD Aug 2001'!AE57+'Expenses-Sep-Dec 2001'!AE57</f>
        <v>0</v>
      </c>
      <c r="AF57" s="7"/>
      <c r="AG57" s="7">
        <f>'Expenses-YTD Aug 2001'!AG57+'Expenses-Sep-Dec 2001'!AG57</f>
        <v>0</v>
      </c>
      <c r="AH57" s="7"/>
      <c r="AI57" s="7">
        <f>'Expenses-YTD Aug 2001'!AI57+'Expenses-Sep-Dec 2001'!AI57</f>
        <v>0</v>
      </c>
      <c r="AJ57" s="7"/>
      <c r="AK57" s="7">
        <f>'Expenses-YTD Aug 2001'!AK57+'Expenses-Sep-Dec 2001'!AK57</f>
        <v>0</v>
      </c>
      <c r="AL57" s="7"/>
      <c r="AM57" s="7">
        <f>'Expenses-YTD Aug 2001'!AM57+'Expenses-Sep-Dec 2001'!AM57</f>
        <v>43745</v>
      </c>
      <c r="AO57" s="19"/>
    </row>
    <row r="58" spans="1:41" s="3" customFormat="1">
      <c r="A58" s="20" t="s">
        <v>82</v>
      </c>
      <c r="B58" s="18"/>
      <c r="C58" s="7">
        <f t="shared" si="1"/>
        <v>17669</v>
      </c>
      <c r="E58" s="7">
        <f>'Expenses-YTD Aug 2001'!E58+'Expenses-Sep-Dec 2001'!E58</f>
        <v>0</v>
      </c>
      <c r="F58" s="7"/>
      <c r="G58" s="7">
        <f>'Expenses-YTD Aug 2001'!G58+'Expenses-Sep-Dec 2001'!G58</f>
        <v>0</v>
      </c>
      <c r="H58" s="7"/>
      <c r="I58" s="7">
        <f>'Expenses-YTD Aug 2001'!I58+'Expenses-Sep-Dec 2001'!I58</f>
        <v>0</v>
      </c>
      <c r="J58" s="7"/>
      <c r="K58" s="7">
        <f>'Expenses-YTD Aug 2001'!K58+'Expenses-Sep-Dec 2001'!K58</f>
        <v>0</v>
      </c>
      <c r="L58" s="7"/>
      <c r="M58" s="7">
        <f>'Expenses-YTD Aug 2001'!M58+'Expenses-Sep-Dec 2001'!M58</f>
        <v>0</v>
      </c>
      <c r="N58" s="7"/>
      <c r="O58" s="7">
        <f>'Expenses-YTD Aug 2001'!O58+'Expenses-Sep-Dec 2001'!O58</f>
        <v>0</v>
      </c>
      <c r="P58" s="7"/>
      <c r="Q58" s="7">
        <f>'Expenses-YTD Aug 2001'!Q58+'Expenses-Sep-Dec 2001'!Q58</f>
        <v>0</v>
      </c>
      <c r="R58" s="7"/>
      <c r="S58" s="7">
        <f>'Expenses-YTD Aug 2001'!S58+'Expenses-Sep-Dec 2001'!S58</f>
        <v>0</v>
      </c>
      <c r="T58" s="7"/>
      <c r="U58" s="7">
        <f>'Expenses-YTD Aug 2001'!U58+'Expenses-Sep-Dec 2001'!U58</f>
        <v>0</v>
      </c>
      <c r="V58" s="1"/>
      <c r="W58" s="7">
        <f>'Expenses-YTD Aug 2001'!W58+'Expenses-Sep-Dec 2001'!W58</f>
        <v>0</v>
      </c>
      <c r="X58" s="1"/>
      <c r="Y58" s="7">
        <f>'Expenses-YTD Aug 2001'!Y58+'Expenses-Sep-Dec 2001'!Y58</f>
        <v>0</v>
      </c>
      <c r="Z58" s="1"/>
      <c r="AA58" s="7">
        <f>'Expenses-YTD Aug 2001'!AA58+'Expenses-Sep-Dec 2001'!AA58</f>
        <v>0</v>
      </c>
      <c r="AB58" s="1"/>
      <c r="AC58" s="7">
        <f>'Expenses-YTD Aug 2001'!AC58+'Expenses-Sep-Dec 2001'!AC58</f>
        <v>0</v>
      </c>
      <c r="AD58" s="1"/>
      <c r="AE58" s="7">
        <f>'Expenses-YTD Aug 2001'!AE58+'Expenses-Sep-Dec 2001'!AE58</f>
        <v>0</v>
      </c>
      <c r="AF58" s="7"/>
      <c r="AG58" s="7">
        <f>'Expenses-YTD Aug 2001'!AG58+'Expenses-Sep-Dec 2001'!AG58</f>
        <v>0</v>
      </c>
      <c r="AH58" s="7"/>
      <c r="AI58" s="7">
        <f>'Expenses-YTD Aug 2001'!AI58+'Expenses-Sep-Dec 2001'!AI58</f>
        <v>0</v>
      </c>
      <c r="AJ58" s="7"/>
      <c r="AK58" s="7">
        <f>'Expenses-YTD Aug 2001'!AK58+'Expenses-Sep-Dec 2001'!AK58</f>
        <v>0</v>
      </c>
      <c r="AL58" s="7"/>
      <c r="AM58" s="7">
        <f>'Expenses-YTD Aug 2001'!AM58+'Expenses-Sep-Dec 2001'!AM58</f>
        <v>17669</v>
      </c>
      <c r="AO58" s="19"/>
    </row>
    <row r="59" spans="1:41">
      <c r="A59" s="20" t="s">
        <v>12</v>
      </c>
      <c r="B59" s="17"/>
      <c r="C59" s="21">
        <f t="shared" si="1"/>
        <v>83415</v>
      </c>
      <c r="E59" s="21">
        <f>'Expenses-YTD Aug 2001'!E59+'Expenses-Sep-Dec 2001'!E59</f>
        <v>0</v>
      </c>
      <c r="F59" s="7"/>
      <c r="G59" s="21">
        <f>'Expenses-YTD Aug 2001'!G59+'Expenses-Sep-Dec 2001'!G59</f>
        <v>0</v>
      </c>
      <c r="H59" s="7"/>
      <c r="I59" s="21">
        <f>'Expenses-YTD Aug 2001'!I59+'Expenses-Sep-Dec 2001'!I59</f>
        <v>0</v>
      </c>
      <c r="J59" s="7"/>
      <c r="K59" s="21">
        <f>'Expenses-YTD Aug 2001'!K59+'Expenses-Sep-Dec 2001'!K59</f>
        <v>0</v>
      </c>
      <c r="L59" s="7"/>
      <c r="M59" s="21">
        <f>'Expenses-YTD Aug 2001'!M59+'Expenses-Sep-Dec 2001'!M59</f>
        <v>0</v>
      </c>
      <c r="N59" s="7"/>
      <c r="O59" s="21">
        <f>'Expenses-YTD Aug 2001'!O59+'Expenses-Sep-Dec 2001'!O59</f>
        <v>0</v>
      </c>
      <c r="P59" s="7"/>
      <c r="Q59" s="21">
        <f>'Expenses-YTD Aug 2001'!Q59+'Expenses-Sep-Dec 2001'!Q59</f>
        <v>0</v>
      </c>
      <c r="R59" s="7"/>
      <c r="S59" s="21">
        <f>'Expenses-YTD Aug 2001'!S59+'Expenses-Sep-Dec 2001'!S59</f>
        <v>0</v>
      </c>
      <c r="T59" s="7"/>
      <c r="U59" s="21">
        <f>'Expenses-YTD Aug 2001'!U59+'Expenses-Sep-Dec 2001'!U59</f>
        <v>0</v>
      </c>
      <c r="W59" s="21">
        <f>'Expenses-YTD Aug 2001'!W59+'Expenses-Sep-Dec 2001'!W59</f>
        <v>0</v>
      </c>
      <c r="Y59" s="21">
        <f>'Expenses-YTD Aug 2001'!Y59+'Expenses-Sep-Dec 2001'!Y59</f>
        <v>0</v>
      </c>
      <c r="AA59" s="21">
        <f>'Expenses-YTD Aug 2001'!AA59+'Expenses-Sep-Dec 2001'!AA59</f>
        <v>0</v>
      </c>
      <c r="AC59" s="21">
        <f>'Expenses-YTD Aug 2001'!AC59+'Expenses-Sep-Dec 2001'!AC59</f>
        <v>0</v>
      </c>
      <c r="AE59" s="21">
        <f>'Expenses-YTD Aug 2001'!AE59+'Expenses-Sep-Dec 2001'!AE59</f>
        <v>0</v>
      </c>
      <c r="AF59" s="7"/>
      <c r="AG59" s="21">
        <f>'Expenses-YTD Aug 2001'!AG59+'Expenses-Sep-Dec 2001'!AG59</f>
        <v>0</v>
      </c>
      <c r="AH59" s="7"/>
      <c r="AI59" s="21">
        <f>'Expenses-YTD Aug 2001'!AI59+'Expenses-Sep-Dec 2001'!AI59</f>
        <v>0</v>
      </c>
      <c r="AJ59" s="7"/>
      <c r="AK59" s="21">
        <f>'Expenses-YTD Aug 2001'!AK59+'Expenses-Sep-Dec 2001'!AK59</f>
        <v>0</v>
      </c>
      <c r="AL59" s="7"/>
      <c r="AM59" s="21">
        <f>'Expenses-YTD Aug 2001'!AM59+'Expenses-Sep-Dec 2001'!AM59</f>
        <v>83415</v>
      </c>
    </row>
    <row r="60" spans="1:41" ht="13.5" thickBot="1">
      <c r="A60" s="17" t="s">
        <v>6</v>
      </c>
      <c r="B60" s="17"/>
      <c r="C60" s="15">
        <f>SUM(C39:C59)</f>
        <v>202874</v>
      </c>
      <c r="E60" s="15">
        <f>SUM(E39:E59)</f>
        <v>0</v>
      </c>
      <c r="F60" s="4"/>
      <c r="G60" s="15">
        <f>SUM(G39:G59)</f>
        <v>0</v>
      </c>
      <c r="H60" s="4"/>
      <c r="I60" s="15">
        <f>SUM(I39:I59)</f>
        <v>0</v>
      </c>
      <c r="J60" s="4"/>
      <c r="K60" s="15">
        <f>SUM(K39:K59)</f>
        <v>0</v>
      </c>
      <c r="L60" s="4"/>
      <c r="M60" s="15">
        <f>SUM(M39:M59)</f>
        <v>0</v>
      </c>
      <c r="N60" s="4"/>
      <c r="O60" s="15">
        <f>SUM(O39:O59)</f>
        <v>0</v>
      </c>
      <c r="P60" s="4"/>
      <c r="Q60" s="15">
        <f>SUM(Q39:Q59)</f>
        <v>0</v>
      </c>
      <c r="R60" s="4"/>
      <c r="S60" s="15">
        <f>SUM(S39:S59)</f>
        <v>0</v>
      </c>
      <c r="T60" s="4"/>
      <c r="U60" s="15">
        <f>SUM(U39:U59)</f>
        <v>0</v>
      </c>
      <c r="W60" s="15">
        <f>SUM(W39:W59)</f>
        <v>0</v>
      </c>
      <c r="Y60" s="15">
        <f>SUM(Y39:Y59)</f>
        <v>0</v>
      </c>
      <c r="AA60" s="15">
        <f>SUM(AA39:AA59)</f>
        <v>0</v>
      </c>
      <c r="AC60" s="15">
        <f>SUM(AC39:AC59)</f>
        <v>0</v>
      </c>
      <c r="AE60" s="15">
        <f>SUM(AE39:AE59)</f>
        <v>0</v>
      </c>
      <c r="AF60" s="4"/>
      <c r="AG60" s="15">
        <f>SUM(AG39:AG59)</f>
        <v>0</v>
      </c>
      <c r="AH60" s="4"/>
      <c r="AI60" s="15">
        <f>SUM(AI39:AI59)</f>
        <v>0</v>
      </c>
      <c r="AJ60" s="4"/>
      <c r="AK60" s="15">
        <f>SUM(AK39:AK59)</f>
        <v>0</v>
      </c>
      <c r="AL60" s="4"/>
      <c r="AM60" s="15">
        <f>SUM(AM39:AM59)</f>
        <v>202874</v>
      </c>
    </row>
    <row r="61" spans="1:41" ht="13.5" thickTop="1"/>
    <row r="65" spans="1:1">
      <c r="A65" s="22" t="str">
        <f ca="1">CELL("filename",A1)</f>
        <v>C:\Users\Felienne\Enron\EnronSpreadsheets\[tracy_geaccone__40169__Aug 2001 G&amp;A est.xls]Total Year Estimate</v>
      </c>
    </row>
    <row r="66" spans="1:1">
      <c r="A66" s="26">
        <f ca="1">NOW()</f>
        <v>41887.550950810182</v>
      </c>
    </row>
  </sheetData>
  <mergeCells count="4">
    <mergeCell ref="A1:AM1"/>
    <mergeCell ref="A2:AM2"/>
    <mergeCell ref="A4:AM4"/>
    <mergeCell ref="A3:AM3"/>
  </mergeCells>
  <phoneticPr fontId="9" type="noConversion"/>
  <printOptions horizontalCentered="1"/>
  <pageMargins left="0" right="0.2" top="0.5" bottom="0" header="0.5" footer="0"/>
  <pageSetup paperSize="5" scale="67" orientation="landscape" horizontalDpi="4294967292" verticalDpi="4294967292" r:id="rId1"/>
  <headerFooter alignWithMargins="0">
    <oddHeader xml:space="preserve">&amp;C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Expenses-YTD Aug 2001</vt:lpstr>
      <vt:lpstr>Expenses-Sep-Dec 2001</vt:lpstr>
      <vt:lpstr>Total Year Estimate</vt:lpstr>
      <vt:lpstr>'Expenses-Sep-Dec 2001'!Print_Area</vt:lpstr>
      <vt:lpstr>'Expenses-YTD Aug 2001'!Print_Area</vt:lpstr>
      <vt:lpstr>'Total Year Estimate'!Print_Area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twest</dc:creator>
  <cp:lastModifiedBy>Felienne</cp:lastModifiedBy>
  <cp:lastPrinted>2001-10-02T14:18:17Z</cp:lastPrinted>
  <dcterms:created xsi:type="dcterms:W3CDTF">2001-10-01T22:30:26Z</dcterms:created>
  <dcterms:modified xsi:type="dcterms:W3CDTF">2014-09-05T11:13:22Z</dcterms:modified>
</cp:coreProperties>
</file>