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785" yWindow="-15" windowWidth="4830" windowHeight="5190" tabRatio="599"/>
  </bookViews>
  <sheets>
    <sheet name="BACKUP" sheetId="1" r:id="rId1"/>
    <sheet name="BALSHEET" sheetId="2" r:id="rId2"/>
    <sheet name="CASHFLOW" sheetId="3" r:id="rId3"/>
    <sheet name="CF-Partnership, NNG &amp; 53K" sheetId="5" r:id="rId4"/>
    <sheet name="PrintMacro" sheetId="4" state="veryHidden" r:id=""/>
  </sheets>
  <externalReferences>
    <externalReference r:id="rId5"/>
  </externalReferences>
  <definedNames>
    <definedName name="\L" localSheetId="3">'CF-Partnership, NNG &amp; 53K'!#REF!</definedName>
    <definedName name="\L">CASHFLOW!$C$517:$E$518</definedName>
    <definedName name="\P" localSheetId="0">BACKUP!$D$515:$F$523</definedName>
    <definedName name="\P">BALSHEET!$D$232:$F$233</definedName>
    <definedName name="\R">BALSHEET!$D$238:$F$239</definedName>
    <definedName name="_93ASSET">BALSHEET!$AA$11:$AO$56</definedName>
    <definedName name="_93LIAB">BALSHEET!$AA$58:$AO$99</definedName>
    <definedName name="ASSET1">BACKUP!$A$10:$R$75</definedName>
    <definedName name="ASSET2">BACKUP!$A$77:$R$135</definedName>
    <definedName name="ASSET3">BACKUP!$A$137:$R$195</definedName>
    <definedName name="ASSET4">BACKUP!$A$197:$R$251</definedName>
    <definedName name="ASSET5">BACKUP!$A$252:$R$276</definedName>
    <definedName name="CFNNG53K">'CF-Partnership, NNG &amp; 53K'!$AA$1:$AV$67</definedName>
    <definedName name="CFPARTNERSHIP">'CF-Partnership, NNG &amp; 53K'!$A$1:$V$67</definedName>
    <definedName name="COMPARE" localSheetId="3">'CF-Partnership, NNG &amp; 53K'!#REF!</definedName>
    <definedName name="COMPARE">CASHFLOW!$AA$1:$AQ$62</definedName>
    <definedName name="CORPBS">BALSHEET!$A$157:$P$211</definedName>
    <definedName name="CORPBS93">BALSHEET!$AA$157:$AP$211</definedName>
    <definedName name="CORPCASH" localSheetId="3">'CF-Partnership, NNG &amp; 53K'!#REF!</definedName>
    <definedName name="CORPCASH">CASHFLOW!$A$64:$V$118</definedName>
    <definedName name="CORPSUM" localSheetId="3">'CF-Partnership, NNG &amp; 53K'!#REF!</definedName>
    <definedName name="CORPSUM">CASHFLOW!$AA$64:$AQ$118</definedName>
    <definedName name="FUNDSMO" localSheetId="3">'CF-Partnership, NNG &amp; 53K'!$A$2:$C$67</definedName>
    <definedName name="FUNDSMO">CASHFLOW!$A$120:$V$185</definedName>
    <definedName name="FUNDSUM" localSheetId="3">'CF-Partnership, NNG &amp; 53K'!$D$2:$V$67</definedName>
    <definedName name="FUNDSUM">CASHFLOW!$AA$120:$AQ$185</definedName>
    <definedName name="LIAB1">BACKUP!$A$279:$R$337</definedName>
    <definedName name="LIAB2">BACKUP!$A$338:$R$399</definedName>
    <definedName name="LIAB3">BACKUP!$A$401:$R$461</definedName>
    <definedName name="LIAB4">BACKUP!$A$463:$R$511</definedName>
    <definedName name="MOASSET">BALSHEET!$A$11:$O$56</definedName>
    <definedName name="MOLIAB">BALSHEET!$A$58:$O$99</definedName>
    <definedName name="OTHERMO" localSheetId="3">'CF-Partnership, NNG &amp; 53K'!#REF!</definedName>
    <definedName name="OTHERMO">CASHFLOW!$A$187:$V$246</definedName>
    <definedName name="OTHERSUM" localSheetId="3">'CF-Partnership, NNG &amp; 53K'!#REF!</definedName>
    <definedName name="OTHERSUM">CASHFLOW!$AA$187:$AQ$246</definedName>
    <definedName name="PAGE1" localSheetId="3">'CF-Partnership, NNG &amp; 53K'!#REF!</definedName>
    <definedName name="PAGE1">CASHFLOW!$A$257:$U$302</definedName>
    <definedName name="PAGE2" localSheetId="3">'CF-Partnership, NNG &amp; 53K'!#REF!</definedName>
    <definedName name="PAGE2">CASHFLOW!$A$304:$U$368</definedName>
    <definedName name="PRINT" localSheetId="3">'CF-Partnership, NNG &amp; 53K'!#REF!</definedName>
    <definedName name="PRINT">CASHFLOW!$A$1:$V$62</definedName>
    <definedName name="_xlnm.Print_Area" localSheetId="0">BACKUP!$A$463:$R$511</definedName>
    <definedName name="_xlnm.Print_Area" localSheetId="1">BALSHEET!$CA$58:$CO$98</definedName>
    <definedName name="_xlnm.Print_Area" localSheetId="2">CASHFLOW!$AA$187:$AQ$246</definedName>
    <definedName name="_xlnm.Print_Area" localSheetId="3">'CF-Partnership, NNG &amp; 53K'!$AA$1:$AR$66</definedName>
    <definedName name="_xlnm.Print_Titles" localSheetId="0">BACKUP!$1:$9</definedName>
    <definedName name="_xlnm.Print_Titles" localSheetId="1">BALSHEET!$1:$10</definedName>
    <definedName name="Print_Titles_MI" localSheetId="0">BACKUP!$1:$9</definedName>
    <definedName name="Print_Titles_MI" localSheetId="1">BALSHEET!$1:$10</definedName>
    <definedName name="RONASSET">BALSHEET!$AA$11:$AQ$53</definedName>
    <definedName name="RONCEMO">BALSHEET!$A$102:$P$155</definedName>
    <definedName name="RONCEMO93">BALSHEET!$AA$102:$AP$155</definedName>
    <definedName name="RONLIAB">BALSHEET!$AA$58:$AQ$96</definedName>
    <definedName name="TITLE1" localSheetId="0">BACKUP!$A$1:$R$9</definedName>
    <definedName name="TITLE1" localSheetId="2">CASHFLOW!$A$248:$U$256</definedName>
    <definedName name="TITLE1" localSheetId="3">'CF-Partnership, NNG &amp; 53K'!#REF!</definedName>
    <definedName name="TITLE1">BALSHEET!$A$1:$O$10</definedName>
    <definedName name="TITLE2">BALSHEET!$AA$1:$AO$10</definedName>
    <definedName name="VARCE" localSheetId="3">'CF-Partnership, NNG &amp; 53K'!#REF!</definedName>
    <definedName name="VARCE">CASHFLOW!$A$443:$P$514</definedName>
    <definedName name="VARPLAN" localSheetId="3">'CF-Partnership, NNG &amp; 53K'!#REF!</definedName>
    <definedName name="VARPLAN">CASHFLOW!$A$370:$P$441</definedName>
  </definedNames>
  <calcPr calcId="152511" fullCalcOnLoad="1"/>
</workbook>
</file>

<file path=xl/calcChain.xml><?xml version="1.0" encoding="utf-8"?>
<calcChain xmlns="http://schemas.openxmlformats.org/spreadsheetml/2006/main">
  <c r="A1" i="1" l="1"/>
  <c r="R1" i="1"/>
  <c r="R2" i="1"/>
  <c r="A3" i="1"/>
  <c r="A4" i="1"/>
  <c r="D10" i="1"/>
  <c r="D13" i="1" s="1"/>
  <c r="P11" i="1"/>
  <c r="R11" i="1" s="1"/>
  <c r="Q11" i="1"/>
  <c r="Q15" i="1"/>
  <c r="C18" i="1"/>
  <c r="D20" i="1"/>
  <c r="E20" i="1"/>
  <c r="F20" i="1"/>
  <c r="G20" i="1"/>
  <c r="H20" i="1"/>
  <c r="H27" i="1" s="1"/>
  <c r="I18" i="1" s="1"/>
  <c r="I20" i="1"/>
  <c r="J20" i="1"/>
  <c r="K20" i="1"/>
  <c r="L20" i="1"/>
  <c r="M20" i="1"/>
  <c r="N20" i="1"/>
  <c r="O20" i="1"/>
  <c r="P20" i="1"/>
  <c r="R20" i="1" s="1"/>
  <c r="Q20" i="1"/>
  <c r="D21" i="1"/>
  <c r="E21" i="1"/>
  <c r="F21" i="1"/>
  <c r="G21" i="1"/>
  <c r="H21" i="1"/>
  <c r="I21" i="1"/>
  <c r="Q21" i="1" s="1"/>
  <c r="J21" i="1"/>
  <c r="K21" i="1"/>
  <c r="L21" i="1"/>
  <c r="M21" i="1"/>
  <c r="N21" i="1"/>
  <c r="O21" i="1"/>
  <c r="D22" i="1"/>
  <c r="E22" i="1"/>
  <c r="E27" i="1" s="1"/>
  <c r="F18" i="1" s="1"/>
  <c r="F22" i="1"/>
  <c r="G22" i="1"/>
  <c r="G27" i="1" s="1"/>
  <c r="H18" i="1" s="1"/>
  <c r="H22" i="1"/>
  <c r="I22" i="1"/>
  <c r="J22" i="1"/>
  <c r="K22" i="1"/>
  <c r="L22" i="1"/>
  <c r="M22" i="1"/>
  <c r="M27" i="1" s="1"/>
  <c r="N18" i="1" s="1"/>
  <c r="N22" i="1"/>
  <c r="O22" i="1"/>
  <c r="O27" i="1" s="1"/>
  <c r="D23" i="1"/>
  <c r="E23" i="1"/>
  <c r="F23" i="1"/>
  <c r="F27" i="1" s="1"/>
  <c r="G18" i="1" s="1"/>
  <c r="G23" i="1"/>
  <c r="H23" i="1"/>
  <c r="I23" i="1"/>
  <c r="J23" i="1"/>
  <c r="K23" i="1"/>
  <c r="L23" i="1"/>
  <c r="M23" i="1"/>
  <c r="N23" i="1"/>
  <c r="N27" i="1" s="1"/>
  <c r="O18" i="1" s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P25" i="1"/>
  <c r="Q25" i="1"/>
  <c r="R25" i="1"/>
  <c r="C27" i="1"/>
  <c r="I27" i="1"/>
  <c r="J18" i="1" s="1"/>
  <c r="P29" i="1"/>
  <c r="R29" i="1" s="1"/>
  <c r="Q29" i="1"/>
  <c r="P30" i="1"/>
  <c r="R30" i="1" s="1"/>
  <c r="Q30" i="1"/>
  <c r="P31" i="1"/>
  <c r="R31" i="1" s="1"/>
  <c r="Q31" i="1"/>
  <c r="D37" i="1"/>
  <c r="E37" i="1"/>
  <c r="E41" i="1" s="1"/>
  <c r="E43" i="1" s="1"/>
  <c r="F37" i="1"/>
  <c r="F41" i="1" s="1"/>
  <c r="F43" i="1" s="1"/>
  <c r="P38" i="1"/>
  <c r="R38" i="1" s="1"/>
  <c r="Q38" i="1"/>
  <c r="P39" i="1"/>
  <c r="Q39" i="1"/>
  <c r="R39" i="1"/>
  <c r="D41" i="1"/>
  <c r="D43" i="1" s="1"/>
  <c r="Q43" i="1"/>
  <c r="D45" i="1"/>
  <c r="D49" i="1" s="1"/>
  <c r="E45" i="1" s="1"/>
  <c r="E49" i="1" s="1"/>
  <c r="P46" i="1"/>
  <c r="Q46" i="1"/>
  <c r="Q51" i="1" s="1"/>
  <c r="R46" i="1"/>
  <c r="P47" i="1"/>
  <c r="R47" i="1" s="1"/>
  <c r="Q47" i="1"/>
  <c r="D51" i="1"/>
  <c r="D53" i="1"/>
  <c r="E53" i="1"/>
  <c r="E56" i="1" s="1"/>
  <c r="P54" i="1"/>
  <c r="R54" i="1" s="1"/>
  <c r="Q54" i="1"/>
  <c r="D56" i="1"/>
  <c r="D58" i="1" s="1"/>
  <c r="Q58" i="1"/>
  <c r="D60" i="1"/>
  <c r="D63" i="1" s="1"/>
  <c r="P61" i="1"/>
  <c r="Q61" i="1"/>
  <c r="Q65" i="1" s="1"/>
  <c r="R61" i="1"/>
  <c r="P68" i="1"/>
  <c r="R68" i="1" s="1"/>
  <c r="Q68" i="1"/>
  <c r="P69" i="1"/>
  <c r="R69" i="1" s="1"/>
  <c r="Q69" i="1"/>
  <c r="P70" i="1"/>
  <c r="Q70" i="1"/>
  <c r="R70" i="1" s="1"/>
  <c r="C72" i="1"/>
  <c r="D67" i="1" s="1"/>
  <c r="D72" i="1" s="1"/>
  <c r="D78" i="1"/>
  <c r="E78" i="1"/>
  <c r="F78" i="1"/>
  <c r="G78" i="1"/>
  <c r="H78" i="1"/>
  <c r="I78" i="1"/>
  <c r="J78" i="1"/>
  <c r="K78" i="1"/>
  <c r="L78" i="1"/>
  <c r="M78" i="1"/>
  <c r="N78" i="1"/>
  <c r="O78" i="1"/>
  <c r="D79" i="1"/>
  <c r="E79" i="1"/>
  <c r="F79" i="1"/>
  <c r="G79" i="1"/>
  <c r="H79" i="1"/>
  <c r="I79" i="1"/>
  <c r="J79" i="1"/>
  <c r="K79" i="1"/>
  <c r="L79" i="1"/>
  <c r="M79" i="1"/>
  <c r="N79" i="1"/>
  <c r="O79" i="1"/>
  <c r="D80" i="1"/>
  <c r="E80" i="1"/>
  <c r="F80" i="1"/>
  <c r="G80" i="1"/>
  <c r="H80" i="1"/>
  <c r="I80" i="1"/>
  <c r="T80" i="1" s="1"/>
  <c r="U80" i="1" s="1"/>
  <c r="J80" i="1"/>
  <c r="K80" i="1"/>
  <c r="L80" i="1"/>
  <c r="M80" i="1"/>
  <c r="N80" i="1"/>
  <c r="O80" i="1"/>
  <c r="Q80" i="1"/>
  <c r="D81" i="1"/>
  <c r="T81" i="1" s="1"/>
  <c r="U81" i="1" s="1"/>
  <c r="E81" i="1"/>
  <c r="F81" i="1"/>
  <c r="G81" i="1"/>
  <c r="H81" i="1"/>
  <c r="I81" i="1"/>
  <c r="J81" i="1"/>
  <c r="K81" i="1"/>
  <c r="L81" i="1"/>
  <c r="M81" i="1"/>
  <c r="N81" i="1"/>
  <c r="O81" i="1"/>
  <c r="P81" i="1"/>
  <c r="R81" i="1" s="1"/>
  <c r="Q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D83" i="1"/>
  <c r="E83" i="1"/>
  <c r="F83" i="1"/>
  <c r="G83" i="1"/>
  <c r="G217" i="1" s="1"/>
  <c r="H83" i="1"/>
  <c r="I83" i="1"/>
  <c r="J83" i="1"/>
  <c r="K83" i="1"/>
  <c r="L83" i="1"/>
  <c r="M83" i="1"/>
  <c r="N83" i="1"/>
  <c r="O83" i="1"/>
  <c r="O217" i="1" s="1"/>
  <c r="D84" i="1"/>
  <c r="E84" i="1"/>
  <c r="F84" i="1"/>
  <c r="G84" i="1"/>
  <c r="H84" i="1"/>
  <c r="I84" i="1"/>
  <c r="J84" i="1"/>
  <c r="K84" i="1"/>
  <c r="L84" i="1"/>
  <c r="M84" i="1"/>
  <c r="N84" i="1"/>
  <c r="O84" i="1"/>
  <c r="P85" i="1"/>
  <c r="Q85" i="1"/>
  <c r="R85" i="1"/>
  <c r="T85" i="1"/>
  <c r="U85" i="1" s="1"/>
  <c r="P86" i="1"/>
  <c r="R86" i="1" s="1"/>
  <c r="Q86" i="1"/>
  <c r="T86" i="1"/>
  <c r="U86" i="1" s="1"/>
  <c r="P87" i="1"/>
  <c r="Q87" i="1"/>
  <c r="R87" i="1"/>
  <c r="T87" i="1"/>
  <c r="U87" i="1" s="1"/>
  <c r="P88" i="1"/>
  <c r="Q88" i="1"/>
  <c r="R88" i="1"/>
  <c r="T88" i="1"/>
  <c r="U88" i="1" s="1"/>
  <c r="D89" i="1"/>
  <c r="E89" i="1"/>
  <c r="F89" i="1"/>
  <c r="G89" i="1"/>
  <c r="H89" i="1"/>
  <c r="I89" i="1"/>
  <c r="J89" i="1"/>
  <c r="K89" i="1"/>
  <c r="L89" i="1"/>
  <c r="M89" i="1"/>
  <c r="N89" i="1"/>
  <c r="O89" i="1"/>
  <c r="P90" i="1"/>
  <c r="R90" i="1" s="1"/>
  <c r="Q90" i="1"/>
  <c r="T90" i="1"/>
  <c r="U90" i="1"/>
  <c r="P91" i="1"/>
  <c r="R91" i="1" s="1"/>
  <c r="Q91" i="1"/>
  <c r="T91" i="1"/>
  <c r="U91" i="1" s="1"/>
  <c r="D92" i="1"/>
  <c r="E92" i="1"/>
  <c r="F92" i="1"/>
  <c r="G92" i="1"/>
  <c r="H92" i="1"/>
  <c r="I92" i="1"/>
  <c r="J92" i="1"/>
  <c r="K92" i="1"/>
  <c r="L92" i="1"/>
  <c r="M92" i="1"/>
  <c r="N92" i="1"/>
  <c r="O92" i="1"/>
  <c r="P93" i="1"/>
  <c r="R93" i="1" s="1"/>
  <c r="Q93" i="1"/>
  <c r="T93" i="1"/>
  <c r="U93" i="1"/>
  <c r="P94" i="1"/>
  <c r="R94" i="1" s="1"/>
  <c r="Q94" i="1"/>
  <c r="T94" i="1"/>
  <c r="U94" i="1"/>
  <c r="P95" i="1"/>
  <c r="R95" i="1" s="1"/>
  <c r="Q95" i="1"/>
  <c r="T95" i="1"/>
  <c r="U95" i="1" s="1"/>
  <c r="C97" i="1"/>
  <c r="D77" i="1" s="1"/>
  <c r="D97" i="1" s="1"/>
  <c r="F102" i="1"/>
  <c r="P102" i="1"/>
  <c r="R102" i="1" s="1"/>
  <c r="Q102" i="1"/>
  <c r="Q113" i="1" s="1"/>
  <c r="P103" i="1"/>
  <c r="R103" i="1" s="1"/>
  <c r="Q103" i="1"/>
  <c r="P104" i="1"/>
  <c r="Q104" i="1"/>
  <c r="R104" i="1"/>
  <c r="P105" i="1"/>
  <c r="Q105" i="1"/>
  <c r="R105" i="1"/>
  <c r="P106" i="1"/>
  <c r="R106" i="1" s="1"/>
  <c r="Q106" i="1"/>
  <c r="P107" i="1"/>
  <c r="Q107" i="1"/>
  <c r="R107" i="1"/>
  <c r="P108" i="1"/>
  <c r="Q108" i="1"/>
  <c r="R108" i="1"/>
  <c r="P109" i="1"/>
  <c r="R109" i="1" s="1"/>
  <c r="Q109" i="1"/>
  <c r="C111" i="1"/>
  <c r="D101" i="1" s="1"/>
  <c r="D111" i="1" s="1"/>
  <c r="D115" i="1"/>
  <c r="D123" i="1" s="1"/>
  <c r="E115" i="1" s="1"/>
  <c r="E123" i="1" s="1"/>
  <c r="D116" i="1"/>
  <c r="E116" i="1"/>
  <c r="F116" i="1"/>
  <c r="G116" i="1"/>
  <c r="H116" i="1"/>
  <c r="I116" i="1"/>
  <c r="J116" i="1"/>
  <c r="K116" i="1"/>
  <c r="L116" i="1"/>
  <c r="M116" i="1"/>
  <c r="N116" i="1"/>
  <c r="O116" i="1"/>
  <c r="I117" i="1"/>
  <c r="P117" i="1"/>
  <c r="R117" i="1" s="1"/>
  <c r="Q117" i="1"/>
  <c r="P118" i="1"/>
  <c r="Q118" i="1"/>
  <c r="R118" i="1"/>
  <c r="C119" i="1"/>
  <c r="P119" i="1"/>
  <c r="Q119" i="1"/>
  <c r="R119" i="1" s="1"/>
  <c r="P120" i="1"/>
  <c r="R120" i="1" s="1"/>
  <c r="Q120" i="1"/>
  <c r="P121" i="1"/>
  <c r="R121" i="1" s="1"/>
  <c r="Q121" i="1"/>
  <c r="P128" i="1"/>
  <c r="Q128" i="1"/>
  <c r="R128" i="1" s="1"/>
  <c r="P129" i="1"/>
  <c r="R129" i="1" s="1"/>
  <c r="Q129" i="1"/>
  <c r="P130" i="1"/>
  <c r="R130" i="1" s="1"/>
  <c r="Q130" i="1"/>
  <c r="C132" i="1"/>
  <c r="D127" i="1" s="1"/>
  <c r="D132" i="1" s="1"/>
  <c r="E127" i="1" s="1"/>
  <c r="E132" i="1" s="1"/>
  <c r="D134" i="1"/>
  <c r="Q134" i="1"/>
  <c r="C138" i="1"/>
  <c r="C144" i="1" s="1"/>
  <c r="D137" i="1" s="1"/>
  <c r="D144" i="1" s="1"/>
  <c r="F138" i="1"/>
  <c r="P138" i="1" s="1"/>
  <c r="G138" i="1"/>
  <c r="F139" i="1"/>
  <c r="G139" i="1"/>
  <c r="H139" i="1"/>
  <c r="P139" i="1" s="1"/>
  <c r="F140" i="1"/>
  <c r="Q140" i="1" s="1"/>
  <c r="P140" i="1"/>
  <c r="R140" i="1" s="1"/>
  <c r="P141" i="1"/>
  <c r="Q141" i="1"/>
  <c r="G142" i="1"/>
  <c r="Q142" i="1" s="1"/>
  <c r="Q146" i="1" s="1"/>
  <c r="P142" i="1"/>
  <c r="D148" i="1"/>
  <c r="D161" i="1" s="1"/>
  <c r="E148" i="1"/>
  <c r="K149" i="1"/>
  <c r="L149" i="1"/>
  <c r="M149" i="1"/>
  <c r="N149" i="1"/>
  <c r="P149" i="1" s="1"/>
  <c r="R149" i="1" s="1"/>
  <c r="O149" i="1"/>
  <c r="Q149" i="1"/>
  <c r="P150" i="1"/>
  <c r="Q150" i="1"/>
  <c r="R150" i="1" s="1"/>
  <c r="P151" i="1"/>
  <c r="Q151" i="1"/>
  <c r="R151" i="1"/>
  <c r="P152" i="1"/>
  <c r="R152" i="1" s="1"/>
  <c r="Q152" i="1"/>
  <c r="P153" i="1"/>
  <c r="R153" i="1" s="1"/>
  <c r="Q153" i="1"/>
  <c r="P154" i="1"/>
  <c r="Q154" i="1"/>
  <c r="R154" i="1"/>
  <c r="P155" i="1"/>
  <c r="Q155" i="1"/>
  <c r="R155" i="1"/>
  <c r="P156" i="1"/>
  <c r="R156" i="1" s="1"/>
  <c r="Q156" i="1"/>
  <c r="E157" i="1"/>
  <c r="F157" i="1"/>
  <c r="P158" i="1"/>
  <c r="Q158" i="1"/>
  <c r="R158" i="1" s="1"/>
  <c r="P159" i="1"/>
  <c r="R159" i="1" s="1"/>
  <c r="Q159" i="1"/>
  <c r="E161" i="1"/>
  <c r="F148" i="1" s="1"/>
  <c r="F161" i="1" s="1"/>
  <c r="D163" i="1"/>
  <c r="E163" i="1"/>
  <c r="D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H168" i="1"/>
  <c r="P168" i="1"/>
  <c r="Q168" i="1"/>
  <c r="R168" i="1" s="1"/>
  <c r="P169" i="1"/>
  <c r="R169" i="1" s="1"/>
  <c r="Q169" i="1"/>
  <c r="P170" i="1"/>
  <c r="Q170" i="1"/>
  <c r="R170" i="1"/>
  <c r="P172" i="1"/>
  <c r="R172" i="1" s="1"/>
  <c r="Q172" i="1"/>
  <c r="D173" i="1"/>
  <c r="E173" i="1"/>
  <c r="F173" i="1"/>
  <c r="G173" i="1"/>
  <c r="H173" i="1"/>
  <c r="I173" i="1"/>
  <c r="Q173" i="1" s="1"/>
  <c r="J173" i="1"/>
  <c r="K173" i="1"/>
  <c r="L173" i="1"/>
  <c r="M173" i="1"/>
  <c r="N173" i="1"/>
  <c r="O173" i="1"/>
  <c r="P174" i="1"/>
  <c r="R174" i="1" s="1"/>
  <c r="Q174" i="1"/>
  <c r="D180" i="1"/>
  <c r="D184" i="1" s="1"/>
  <c r="P181" i="1"/>
  <c r="R181" i="1" s="1"/>
  <c r="Q181" i="1"/>
  <c r="P182" i="1"/>
  <c r="Q182" i="1"/>
  <c r="Q186" i="1" s="1"/>
  <c r="D188" i="1"/>
  <c r="D192" i="1" s="1"/>
  <c r="P189" i="1"/>
  <c r="Q189" i="1"/>
  <c r="P190" i="1"/>
  <c r="R190" i="1" s="1"/>
  <c r="Q190" i="1"/>
  <c r="Q194" i="1"/>
  <c r="D197" i="1"/>
  <c r="P198" i="1"/>
  <c r="Q198" i="1"/>
  <c r="R198" i="1"/>
  <c r="T198" i="1"/>
  <c r="P199" i="1"/>
  <c r="R199" i="1" s="1"/>
  <c r="Q199" i="1"/>
  <c r="T199" i="1"/>
  <c r="P200" i="1"/>
  <c r="Q200" i="1"/>
  <c r="R200" i="1"/>
  <c r="T200" i="1"/>
  <c r="U200" i="1"/>
  <c r="P201" i="1"/>
  <c r="R201" i="1" s="1"/>
  <c r="Q201" i="1"/>
  <c r="T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3" i="1"/>
  <c r="Q203" i="1"/>
  <c r="R203" i="1" s="1"/>
  <c r="T203" i="1"/>
  <c r="P204" i="1"/>
  <c r="R204" i="1" s="1"/>
  <c r="Q204" i="1"/>
  <c r="T204" i="1"/>
  <c r="P205" i="1"/>
  <c r="Q205" i="1"/>
  <c r="R205" i="1"/>
  <c r="T205" i="1"/>
  <c r="P206" i="1"/>
  <c r="R206" i="1" s="1"/>
  <c r="Q206" i="1"/>
  <c r="T206" i="1"/>
  <c r="U206" i="1"/>
  <c r="P207" i="1"/>
  <c r="Q207" i="1"/>
  <c r="T207" i="1"/>
  <c r="P208" i="1"/>
  <c r="R208" i="1" s="1"/>
  <c r="Q208" i="1"/>
  <c r="T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10" i="1"/>
  <c r="R210" i="1" s="1"/>
  <c r="Q210" i="1"/>
  <c r="T210" i="1"/>
  <c r="P211" i="1"/>
  <c r="Q211" i="1"/>
  <c r="R211" i="1"/>
  <c r="T211" i="1"/>
  <c r="U212" i="1" s="1"/>
  <c r="P212" i="1"/>
  <c r="R212" i="1" s="1"/>
  <c r="Q212" i="1"/>
  <c r="T212" i="1"/>
  <c r="P213" i="1"/>
  <c r="Q213" i="1"/>
  <c r="R213" i="1" s="1"/>
  <c r="T213" i="1"/>
  <c r="U215" i="1" s="1"/>
  <c r="P214" i="1"/>
  <c r="R214" i="1" s="1"/>
  <c r="Q214" i="1"/>
  <c r="T214" i="1"/>
  <c r="P215" i="1"/>
  <c r="Q215" i="1"/>
  <c r="R215" i="1" s="1"/>
  <c r="T215" i="1"/>
  <c r="P216" i="1"/>
  <c r="Q216" i="1"/>
  <c r="R216" i="1"/>
  <c r="T216" i="1"/>
  <c r="D217" i="1"/>
  <c r="E217" i="1"/>
  <c r="F217" i="1"/>
  <c r="H217" i="1"/>
  <c r="I217" i="1"/>
  <c r="J217" i="1"/>
  <c r="K217" i="1"/>
  <c r="L217" i="1"/>
  <c r="M217" i="1"/>
  <c r="N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9" i="1"/>
  <c r="Q219" i="1"/>
  <c r="T219" i="1"/>
  <c r="P220" i="1"/>
  <c r="Q220" i="1"/>
  <c r="R220" i="1" s="1"/>
  <c r="T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T221" i="1"/>
  <c r="U221" i="1" s="1"/>
  <c r="P222" i="1"/>
  <c r="Q222" i="1"/>
  <c r="T222" i="1"/>
  <c r="P223" i="1"/>
  <c r="Q223" i="1"/>
  <c r="R223" i="1"/>
  <c r="T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Q225" i="1"/>
  <c r="T225" i="1"/>
  <c r="U225" i="1" s="1"/>
  <c r="D226" i="1"/>
  <c r="E226" i="1"/>
  <c r="F226" i="1"/>
  <c r="T226" i="1" s="1"/>
  <c r="U226" i="1" s="1"/>
  <c r="G226" i="1"/>
  <c r="H226" i="1"/>
  <c r="I226" i="1"/>
  <c r="P226" i="1" s="1"/>
  <c r="R226" i="1" s="1"/>
  <c r="J226" i="1"/>
  <c r="K226" i="1"/>
  <c r="L226" i="1"/>
  <c r="M226" i="1"/>
  <c r="N226" i="1"/>
  <c r="O226" i="1"/>
  <c r="Q226" i="1"/>
  <c r="P227" i="1"/>
  <c r="Q227" i="1"/>
  <c r="R227" i="1" s="1"/>
  <c r="T227" i="1"/>
  <c r="D228" i="1"/>
  <c r="E228" i="1"/>
  <c r="E171" i="1" s="1"/>
  <c r="F228" i="1"/>
  <c r="F171" i="1" s="1"/>
  <c r="G228" i="1"/>
  <c r="G171" i="1" s="1"/>
  <c r="H228" i="1"/>
  <c r="H171" i="1" s="1"/>
  <c r="I228" i="1"/>
  <c r="I171" i="1" s="1"/>
  <c r="J228" i="1"/>
  <c r="J171" i="1" s="1"/>
  <c r="K228" i="1"/>
  <c r="K171" i="1" s="1"/>
  <c r="L228" i="1"/>
  <c r="L171" i="1" s="1"/>
  <c r="M228" i="1"/>
  <c r="M171" i="1" s="1"/>
  <c r="N228" i="1"/>
  <c r="N171" i="1" s="1"/>
  <c r="O228" i="1"/>
  <c r="O171" i="1" s="1"/>
  <c r="D229" i="1"/>
  <c r="E229" i="1"/>
  <c r="F229" i="1"/>
  <c r="G229" i="1"/>
  <c r="H229" i="1"/>
  <c r="I229" i="1"/>
  <c r="J229" i="1"/>
  <c r="K229" i="1"/>
  <c r="L229" i="1"/>
  <c r="M229" i="1"/>
  <c r="N229" i="1"/>
  <c r="O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T230" i="1"/>
  <c r="U230" i="1" s="1"/>
  <c r="D231" i="1"/>
  <c r="E231" i="1"/>
  <c r="F231" i="1"/>
  <c r="G231" i="1"/>
  <c r="H231" i="1"/>
  <c r="Q231" i="1" s="1"/>
  <c r="I231" i="1"/>
  <c r="J231" i="1"/>
  <c r="K231" i="1"/>
  <c r="L231" i="1"/>
  <c r="M231" i="1"/>
  <c r="N231" i="1"/>
  <c r="O231" i="1"/>
  <c r="P231" i="1"/>
  <c r="R231" i="1" s="1"/>
  <c r="D232" i="1"/>
  <c r="E232" i="1"/>
  <c r="F232" i="1"/>
  <c r="G232" i="1"/>
  <c r="H232" i="1"/>
  <c r="I232" i="1"/>
  <c r="Q232" i="1" s="1"/>
  <c r="J232" i="1"/>
  <c r="K232" i="1"/>
  <c r="L232" i="1"/>
  <c r="M232" i="1"/>
  <c r="N232" i="1"/>
  <c r="O232" i="1"/>
  <c r="D233" i="1"/>
  <c r="E233" i="1"/>
  <c r="F233" i="1"/>
  <c r="P233" i="1" s="1"/>
  <c r="G233" i="1"/>
  <c r="H233" i="1"/>
  <c r="I233" i="1"/>
  <c r="J233" i="1"/>
  <c r="K233" i="1"/>
  <c r="L233" i="1"/>
  <c r="M233" i="1"/>
  <c r="N233" i="1"/>
  <c r="O233" i="1"/>
  <c r="D234" i="1"/>
  <c r="E234" i="1"/>
  <c r="T234" i="1" s="1"/>
  <c r="U234" i="1" s="1"/>
  <c r="F234" i="1"/>
  <c r="G234" i="1"/>
  <c r="H234" i="1"/>
  <c r="I234" i="1"/>
  <c r="J234" i="1"/>
  <c r="K234" i="1"/>
  <c r="L234" i="1"/>
  <c r="M234" i="1"/>
  <c r="N234" i="1"/>
  <c r="O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T235" i="1"/>
  <c r="U235" i="1" s="1"/>
  <c r="P236" i="1"/>
  <c r="Q236" i="1"/>
  <c r="T236" i="1"/>
  <c r="U236" i="1" s="1"/>
  <c r="P237" i="1"/>
  <c r="R222" i="1" s="1"/>
  <c r="Q237" i="1"/>
  <c r="R237" i="1"/>
  <c r="T237" i="1"/>
  <c r="U237" i="1" s="1"/>
  <c r="P238" i="1"/>
  <c r="R238" i="1" s="1"/>
  <c r="Q238" i="1"/>
  <c r="T238" i="1"/>
  <c r="P239" i="1"/>
  <c r="Q239" i="1"/>
  <c r="R239" i="1"/>
  <c r="T239" i="1"/>
  <c r="D240" i="1"/>
  <c r="E240" i="1"/>
  <c r="F240" i="1"/>
  <c r="P240" i="1" s="1"/>
  <c r="G240" i="1"/>
  <c r="H240" i="1"/>
  <c r="I240" i="1"/>
  <c r="J240" i="1"/>
  <c r="K240" i="1"/>
  <c r="L240" i="1"/>
  <c r="M240" i="1"/>
  <c r="N240" i="1"/>
  <c r="O240" i="1"/>
  <c r="T240" i="1"/>
  <c r="U240" i="1" s="1"/>
  <c r="P241" i="1"/>
  <c r="Q241" i="1"/>
  <c r="R241" i="1"/>
  <c r="T241" i="1"/>
  <c r="U241" i="1" s="1"/>
  <c r="P242" i="1"/>
  <c r="R242" i="1" s="1"/>
  <c r="Q242" i="1"/>
  <c r="T242" i="1"/>
  <c r="U242" i="1"/>
  <c r="O243" i="1"/>
  <c r="P243" i="1" s="1"/>
  <c r="Q243" i="1"/>
  <c r="R243" i="1"/>
  <c r="T243" i="1"/>
  <c r="U243" i="1" s="1"/>
  <c r="O244" i="1"/>
  <c r="P244" i="1"/>
  <c r="R244" i="1" s="1"/>
  <c r="Q244" i="1"/>
  <c r="T244" i="1"/>
  <c r="U244" i="1"/>
  <c r="P245" i="1"/>
  <c r="Q245" i="1"/>
  <c r="T245" i="1"/>
  <c r="U245" i="1"/>
  <c r="C247" i="1"/>
  <c r="D252" i="1"/>
  <c r="D268" i="1" s="1"/>
  <c r="E252" i="1" s="1"/>
  <c r="E268" i="1" s="1"/>
  <c r="D253" i="1"/>
  <c r="E253" i="1"/>
  <c r="F253" i="1"/>
  <c r="G253" i="1"/>
  <c r="H253" i="1"/>
  <c r="I253" i="1"/>
  <c r="J253" i="1"/>
  <c r="K253" i="1"/>
  <c r="L253" i="1"/>
  <c r="M253" i="1"/>
  <c r="N253" i="1"/>
  <c r="O253" i="1"/>
  <c r="D254" i="1"/>
  <c r="P255" i="1"/>
  <c r="Q255" i="1"/>
  <c r="P256" i="1"/>
  <c r="Q256" i="1"/>
  <c r="P257" i="1"/>
  <c r="Q257" i="1"/>
  <c r="R257" i="1" s="1"/>
  <c r="P258" i="1"/>
  <c r="R258" i="1" s="1"/>
  <c r="Q258" i="1"/>
  <c r="P259" i="1"/>
  <c r="R259" i="1" s="1"/>
  <c r="Q259" i="1"/>
  <c r="P260" i="1"/>
  <c r="R260" i="1" s="1"/>
  <c r="Q260" i="1"/>
  <c r="P261" i="1"/>
  <c r="Q261" i="1"/>
  <c r="R261" i="1"/>
  <c r="P262" i="1"/>
  <c r="Q262" i="1"/>
  <c r="R262" i="1"/>
  <c r="L263" i="1"/>
  <c r="O263" i="1"/>
  <c r="Q263" i="1"/>
  <c r="J264" i="1"/>
  <c r="K264" i="1"/>
  <c r="L264" i="1"/>
  <c r="P264" i="1" s="1"/>
  <c r="R264" i="1" s="1"/>
  <c r="M264" i="1"/>
  <c r="N264" i="1"/>
  <c r="O264" i="1"/>
  <c r="Q264" i="1"/>
  <c r="P265" i="1"/>
  <c r="Q265" i="1"/>
  <c r="R265" i="1"/>
  <c r="P266" i="1"/>
  <c r="R266" i="1" s="1"/>
  <c r="Q266" i="1"/>
  <c r="C268" i="1"/>
  <c r="C279" i="1"/>
  <c r="K280" i="1"/>
  <c r="O280" i="1"/>
  <c r="D282" i="1"/>
  <c r="E282" i="1"/>
  <c r="F282" i="1"/>
  <c r="G282" i="1"/>
  <c r="G289" i="1" s="1"/>
  <c r="H280" i="1" s="1"/>
  <c r="H282" i="1"/>
  <c r="H289" i="1" s="1"/>
  <c r="I280" i="1" s="1"/>
  <c r="I282" i="1"/>
  <c r="J282" i="1"/>
  <c r="J289" i="1" s="1"/>
  <c r="K282" i="1"/>
  <c r="L282" i="1"/>
  <c r="M282" i="1"/>
  <c r="N282" i="1"/>
  <c r="N289" i="1" s="1"/>
  <c r="O282" i="1"/>
  <c r="O289" i="1" s="1"/>
  <c r="D283" i="1"/>
  <c r="E283" i="1"/>
  <c r="F283" i="1"/>
  <c r="G283" i="1"/>
  <c r="H283" i="1"/>
  <c r="I283" i="1"/>
  <c r="I289" i="1" s="1"/>
  <c r="J280" i="1" s="1"/>
  <c r="J283" i="1"/>
  <c r="K283" i="1"/>
  <c r="L283" i="1"/>
  <c r="M283" i="1"/>
  <c r="N283" i="1"/>
  <c r="O283" i="1"/>
  <c r="Q283" i="1"/>
  <c r="D284" i="1"/>
  <c r="E284" i="1"/>
  <c r="E289" i="1" s="1"/>
  <c r="F280" i="1" s="1"/>
  <c r="F284" i="1"/>
  <c r="G284" i="1"/>
  <c r="H284" i="1"/>
  <c r="I284" i="1"/>
  <c r="J284" i="1"/>
  <c r="K284" i="1"/>
  <c r="L284" i="1"/>
  <c r="M284" i="1"/>
  <c r="M289" i="1" s="1"/>
  <c r="N280" i="1" s="1"/>
  <c r="N284" i="1"/>
  <c r="O284" i="1"/>
  <c r="P285" i="1"/>
  <c r="Q285" i="1"/>
  <c r="R285" i="1"/>
  <c r="P286" i="1"/>
  <c r="Q286" i="1"/>
  <c r="R286" i="1"/>
  <c r="P287" i="1"/>
  <c r="R287" i="1" s="1"/>
  <c r="Q287" i="1"/>
  <c r="C289" i="1"/>
  <c r="D280" i="1" s="1"/>
  <c r="P291" i="1"/>
  <c r="R291" i="1" s="1"/>
  <c r="Q291" i="1"/>
  <c r="S291" i="1"/>
  <c r="P292" i="1"/>
  <c r="R292" i="1" s="1"/>
  <c r="Q292" i="1"/>
  <c r="P293" i="1"/>
  <c r="Q293" i="1"/>
  <c r="R293" i="1"/>
  <c r="P294" i="1"/>
  <c r="Q294" i="1"/>
  <c r="R294" i="1"/>
  <c r="P295" i="1"/>
  <c r="Q295" i="1"/>
  <c r="R295" i="1"/>
  <c r="M296" i="1"/>
  <c r="O296" i="1"/>
  <c r="Q296" i="1"/>
  <c r="P297" i="1"/>
  <c r="R297" i="1" s="1"/>
  <c r="Q297" i="1"/>
  <c r="C299" i="1"/>
  <c r="D279" i="1" s="1"/>
  <c r="D303" i="1"/>
  <c r="D308" i="1" s="1"/>
  <c r="E303" i="1" s="1"/>
  <c r="P304" i="1"/>
  <c r="R304" i="1" s="1"/>
  <c r="Q304" i="1"/>
  <c r="I305" i="1"/>
  <c r="P305" i="1"/>
  <c r="Q305" i="1"/>
  <c r="P306" i="1"/>
  <c r="R306" i="1" s="1"/>
  <c r="Q306" i="1"/>
  <c r="C308" i="1"/>
  <c r="E308" i="1"/>
  <c r="F303" i="1" s="1"/>
  <c r="F308" i="1"/>
  <c r="D310" i="1"/>
  <c r="E310" i="1"/>
  <c r="E465" i="1" s="1"/>
  <c r="Q310" i="1"/>
  <c r="D312" i="1"/>
  <c r="D317" i="1" s="1"/>
  <c r="E312" i="1" s="1"/>
  <c r="P313" i="1"/>
  <c r="Q313" i="1"/>
  <c r="R313" i="1"/>
  <c r="T313" i="1"/>
  <c r="P314" i="1"/>
  <c r="R314" i="1" s="1"/>
  <c r="Q314" i="1"/>
  <c r="P315" i="1"/>
  <c r="R315" i="1" s="1"/>
  <c r="Q315" i="1"/>
  <c r="E317" i="1"/>
  <c r="D319" i="1"/>
  <c r="Q319" i="1"/>
  <c r="P322" i="1"/>
  <c r="Q322" i="1"/>
  <c r="R322" i="1" s="1"/>
  <c r="P323" i="1"/>
  <c r="Q323" i="1"/>
  <c r="R323" i="1"/>
  <c r="P324" i="1"/>
  <c r="R324" i="1" s="1"/>
  <c r="Q324" i="1"/>
  <c r="P325" i="1"/>
  <c r="R325" i="1" s="1"/>
  <c r="Q325" i="1"/>
  <c r="P326" i="1"/>
  <c r="Q326" i="1"/>
  <c r="R326" i="1" s="1"/>
  <c r="P327" i="1"/>
  <c r="Q327" i="1"/>
  <c r="R327" i="1"/>
  <c r="P328" i="1"/>
  <c r="Q328" i="1"/>
  <c r="R328" i="1"/>
  <c r="P329" i="1"/>
  <c r="R329" i="1" s="1"/>
  <c r="Q329" i="1"/>
  <c r="P330" i="1"/>
  <c r="Q330" i="1"/>
  <c r="R330" i="1" s="1"/>
  <c r="P331" i="1"/>
  <c r="Q331" i="1"/>
  <c r="R331" i="1"/>
  <c r="C333" i="1"/>
  <c r="D321" i="1" s="1"/>
  <c r="D333" i="1" s="1"/>
  <c r="E321" i="1" s="1"/>
  <c r="E333" i="1" s="1"/>
  <c r="D335" i="1"/>
  <c r="D338" i="1"/>
  <c r="P339" i="1"/>
  <c r="R339" i="1" s="1"/>
  <c r="Q339" i="1"/>
  <c r="D341" i="1"/>
  <c r="Q343" i="1"/>
  <c r="D347" i="1"/>
  <c r="E347" i="1"/>
  <c r="F347" i="1"/>
  <c r="G347" i="1"/>
  <c r="H347" i="1"/>
  <c r="I347" i="1"/>
  <c r="J347" i="1"/>
  <c r="K347" i="1"/>
  <c r="K352" i="1" s="1"/>
  <c r="K360" i="1" s="1"/>
  <c r="L347" i="1"/>
  <c r="M347" i="1"/>
  <c r="N347" i="1"/>
  <c r="N352" i="1" s="1"/>
  <c r="O347" i="1"/>
  <c r="Q347" i="1"/>
  <c r="P348" i="1"/>
  <c r="R348" i="1" s="1"/>
  <c r="Q348" i="1"/>
  <c r="P349" i="1"/>
  <c r="R349" i="1" s="1"/>
  <c r="Q349" i="1"/>
  <c r="D350" i="1"/>
  <c r="E350" i="1"/>
  <c r="E352" i="1" s="1"/>
  <c r="E360" i="1" s="1"/>
  <c r="F350" i="1"/>
  <c r="G350" i="1"/>
  <c r="H350" i="1"/>
  <c r="I350" i="1"/>
  <c r="J350" i="1"/>
  <c r="K350" i="1"/>
  <c r="L350" i="1"/>
  <c r="M350" i="1"/>
  <c r="M352" i="1" s="1"/>
  <c r="M360" i="1" s="1"/>
  <c r="N350" i="1"/>
  <c r="O350" i="1"/>
  <c r="O352" i="1" s="1"/>
  <c r="O360" i="1" s="1"/>
  <c r="F352" i="1"/>
  <c r="F360" i="1" s="1"/>
  <c r="G352" i="1"/>
  <c r="G360" i="1" s="1"/>
  <c r="H352" i="1"/>
  <c r="H360" i="1" s="1"/>
  <c r="I352" i="1"/>
  <c r="I360" i="1" s="1"/>
  <c r="J352" i="1"/>
  <c r="J360" i="1" s="1"/>
  <c r="D354" i="1"/>
  <c r="E354" i="1"/>
  <c r="F354" i="1"/>
  <c r="G354" i="1"/>
  <c r="H354" i="1"/>
  <c r="I354" i="1"/>
  <c r="Q354" i="1" s="1"/>
  <c r="J354" i="1"/>
  <c r="K354" i="1"/>
  <c r="L354" i="1"/>
  <c r="M354" i="1"/>
  <c r="N354" i="1"/>
  <c r="O354" i="1"/>
  <c r="D356" i="1"/>
  <c r="E356" i="1"/>
  <c r="F356" i="1"/>
  <c r="G356" i="1"/>
  <c r="G359" i="1" s="1"/>
  <c r="H356" i="1"/>
  <c r="I356" i="1"/>
  <c r="J356" i="1"/>
  <c r="J359" i="1" s="1"/>
  <c r="K356" i="1"/>
  <c r="L356" i="1"/>
  <c r="M356" i="1"/>
  <c r="N356" i="1"/>
  <c r="O356" i="1"/>
  <c r="D357" i="1"/>
  <c r="E357" i="1"/>
  <c r="E359" i="1" s="1"/>
  <c r="E362" i="1" s="1"/>
  <c r="F357" i="1"/>
  <c r="G357" i="1"/>
  <c r="H357" i="1"/>
  <c r="I357" i="1"/>
  <c r="J357" i="1"/>
  <c r="K357" i="1"/>
  <c r="L357" i="1"/>
  <c r="M357" i="1"/>
  <c r="M359" i="1" s="1"/>
  <c r="N357" i="1"/>
  <c r="F359" i="1"/>
  <c r="F362" i="1" s="1"/>
  <c r="I359" i="1"/>
  <c r="I362" i="1" s="1"/>
  <c r="N359" i="1"/>
  <c r="N360" i="1"/>
  <c r="N362" i="1" s="1"/>
  <c r="G362" i="1"/>
  <c r="J362" i="1"/>
  <c r="D363" i="1"/>
  <c r="P364" i="1"/>
  <c r="Q364" i="1"/>
  <c r="R364" i="1"/>
  <c r="D371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3" i="1"/>
  <c r="Q373" i="1"/>
  <c r="R373" i="1"/>
  <c r="P374" i="1"/>
  <c r="R374" i="1" s="1"/>
  <c r="Q374" i="1"/>
  <c r="D381" i="1"/>
  <c r="D386" i="1" s="1"/>
  <c r="D388" i="1" s="1"/>
  <c r="E381" i="1"/>
  <c r="E386" i="1" s="1"/>
  <c r="D382" i="1"/>
  <c r="E382" i="1"/>
  <c r="F382" i="1"/>
  <c r="G382" i="1"/>
  <c r="Q382" i="1" s="1"/>
  <c r="Q388" i="1" s="1"/>
  <c r="H382" i="1"/>
  <c r="I382" i="1"/>
  <c r="J382" i="1"/>
  <c r="K382" i="1"/>
  <c r="L382" i="1"/>
  <c r="M382" i="1"/>
  <c r="N382" i="1"/>
  <c r="O382" i="1"/>
  <c r="P382" i="1"/>
  <c r="D383" i="1"/>
  <c r="E383" i="1"/>
  <c r="F383" i="1"/>
  <c r="G383" i="1"/>
  <c r="H383" i="1"/>
  <c r="Q383" i="1" s="1"/>
  <c r="I383" i="1"/>
  <c r="J383" i="1"/>
  <c r="K383" i="1"/>
  <c r="L383" i="1"/>
  <c r="M383" i="1"/>
  <c r="N383" i="1"/>
  <c r="O383" i="1"/>
  <c r="P383" i="1"/>
  <c r="R383" i="1" s="1"/>
  <c r="F384" i="1"/>
  <c r="Q384" i="1" s="1"/>
  <c r="P384" i="1"/>
  <c r="R384" i="1" s="1"/>
  <c r="D391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H393" i="1"/>
  <c r="Q393" i="1" s="1"/>
  <c r="R393" i="1" s="1"/>
  <c r="P393" i="1"/>
  <c r="P394" i="1"/>
  <c r="R394" i="1" s="1"/>
  <c r="Q394" i="1"/>
  <c r="D396" i="1"/>
  <c r="E391" i="1" s="1"/>
  <c r="E396" i="1" s="1"/>
  <c r="F391" i="1" s="1"/>
  <c r="F396" i="1" s="1"/>
  <c r="D398" i="1"/>
  <c r="E398" i="1"/>
  <c r="P402" i="1"/>
  <c r="R402" i="1" s="1"/>
  <c r="Q402" i="1"/>
  <c r="D403" i="1"/>
  <c r="E403" i="1"/>
  <c r="F403" i="1"/>
  <c r="G403" i="1"/>
  <c r="H403" i="1"/>
  <c r="I403" i="1"/>
  <c r="J403" i="1"/>
  <c r="P403" i="1" s="1"/>
  <c r="K403" i="1"/>
  <c r="L403" i="1"/>
  <c r="M403" i="1"/>
  <c r="N403" i="1"/>
  <c r="O403" i="1"/>
  <c r="P404" i="1"/>
  <c r="R404" i="1" s="1"/>
  <c r="Q404" i="1"/>
  <c r="P405" i="1"/>
  <c r="R405" i="1" s="1"/>
  <c r="Q405" i="1"/>
  <c r="G406" i="1"/>
  <c r="H406" i="1"/>
  <c r="J406" i="1"/>
  <c r="P407" i="1"/>
  <c r="Q407" i="1"/>
  <c r="D408" i="1"/>
  <c r="E408" i="1"/>
  <c r="F408" i="1"/>
  <c r="G408" i="1"/>
  <c r="H408" i="1"/>
  <c r="Q408" i="1" s="1"/>
  <c r="I408" i="1"/>
  <c r="J408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P410" i="1"/>
  <c r="R410" i="1" s="1"/>
  <c r="Q410" i="1"/>
  <c r="P411" i="1"/>
  <c r="R411" i="1" s="1"/>
  <c r="Q411" i="1"/>
  <c r="P412" i="1"/>
  <c r="R412" i="1" s="1"/>
  <c r="Q412" i="1"/>
  <c r="P413" i="1"/>
  <c r="Q413" i="1"/>
  <c r="R413" i="1"/>
  <c r="P414" i="1"/>
  <c r="Q414" i="1"/>
  <c r="C416" i="1"/>
  <c r="D401" i="1" s="1"/>
  <c r="P421" i="1"/>
  <c r="R421" i="1" s="1"/>
  <c r="Q421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4" i="1"/>
  <c r="R424" i="1" s="1"/>
  <c r="Q424" i="1"/>
  <c r="P425" i="1"/>
  <c r="Q425" i="1"/>
  <c r="Q429" i="1" s="1"/>
  <c r="C427" i="1"/>
  <c r="D420" i="1" s="1"/>
  <c r="D427" i="1" s="1"/>
  <c r="D431" i="1"/>
  <c r="P432" i="1"/>
  <c r="Q432" i="1"/>
  <c r="Q438" i="1" s="1"/>
  <c r="P433" i="1"/>
  <c r="R433" i="1" s="1"/>
  <c r="Q433" i="1"/>
  <c r="P434" i="1"/>
  <c r="R434" i="1" s="1"/>
  <c r="Q434" i="1"/>
  <c r="D436" i="1"/>
  <c r="E431" i="1" s="1"/>
  <c r="E436" i="1"/>
  <c r="D438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2" i="1"/>
  <c r="R442" i="1" s="1"/>
  <c r="Q442" i="1"/>
  <c r="D443" i="1"/>
  <c r="E443" i="1"/>
  <c r="F443" i="1"/>
  <c r="G443" i="1"/>
  <c r="H443" i="1"/>
  <c r="I443" i="1"/>
  <c r="Q443" i="1" s="1"/>
  <c r="J443" i="1"/>
  <c r="K443" i="1"/>
  <c r="L443" i="1"/>
  <c r="M443" i="1"/>
  <c r="N443" i="1"/>
  <c r="O443" i="1"/>
  <c r="P444" i="1"/>
  <c r="R444" i="1" s="1"/>
  <c r="Q444" i="1"/>
  <c r="P445" i="1"/>
  <c r="Q445" i="1"/>
  <c r="R445" i="1" s="1"/>
  <c r="P446" i="1"/>
  <c r="Q446" i="1"/>
  <c r="R446" i="1"/>
  <c r="C448" i="1"/>
  <c r="D440" i="1" s="1"/>
  <c r="D448" i="1" s="1"/>
  <c r="D452" i="1"/>
  <c r="D458" i="1" s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4" i="1"/>
  <c r="R454" i="1" s="1"/>
  <c r="Q454" i="1"/>
  <c r="P455" i="1"/>
  <c r="Q455" i="1"/>
  <c r="R455" i="1"/>
  <c r="P456" i="1"/>
  <c r="R456" i="1" s="1"/>
  <c r="Q456" i="1"/>
  <c r="C458" i="1"/>
  <c r="D463" i="1"/>
  <c r="J464" i="1"/>
  <c r="P464" i="1" s="1"/>
  <c r="Q464" i="1"/>
  <c r="R464" i="1" s="1"/>
  <c r="D465" i="1"/>
  <c r="D466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9" i="1"/>
  <c r="Q469" i="1"/>
  <c r="R469" i="1"/>
  <c r="P470" i="1"/>
  <c r="Q470" i="1"/>
  <c r="P471" i="1"/>
  <c r="R471" i="1" s="1"/>
  <c r="Q471" i="1"/>
  <c r="Q475" i="1"/>
  <c r="D478" i="1"/>
  <c r="D485" i="1" s="1"/>
  <c r="E478" i="1" s="1"/>
  <c r="E485" i="1" s="1"/>
  <c r="P479" i="1"/>
  <c r="Q479" i="1"/>
  <c r="R479" i="1"/>
  <c r="P480" i="1"/>
  <c r="R480" i="1" s="1"/>
  <c r="Q480" i="1"/>
  <c r="Q487" i="1" s="1"/>
  <c r="P481" i="1"/>
  <c r="R481" i="1" s="1"/>
  <c r="Q481" i="1"/>
  <c r="P482" i="1"/>
  <c r="Q482" i="1"/>
  <c r="R482" i="1"/>
  <c r="P483" i="1"/>
  <c r="R483" i="1" s="1"/>
  <c r="Q483" i="1"/>
  <c r="C485" i="1"/>
  <c r="D487" i="1"/>
  <c r="D490" i="1"/>
  <c r="D491" i="1"/>
  <c r="E491" i="1"/>
  <c r="F491" i="1"/>
  <c r="G491" i="1"/>
  <c r="P491" i="1" s="1"/>
  <c r="H491" i="1"/>
  <c r="I491" i="1"/>
  <c r="J491" i="1"/>
  <c r="K491" i="1"/>
  <c r="L491" i="1"/>
  <c r="M491" i="1"/>
  <c r="N491" i="1"/>
  <c r="O491" i="1"/>
  <c r="P492" i="1"/>
  <c r="R492" i="1" s="1"/>
  <c r="Q492" i="1"/>
  <c r="P493" i="1"/>
  <c r="Q493" i="1"/>
  <c r="R493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5" i="1"/>
  <c r="R495" i="1" s="1"/>
  <c r="Q495" i="1"/>
  <c r="P496" i="1"/>
  <c r="R496" i="1" s="1"/>
  <c r="Q496" i="1"/>
  <c r="C497" i="1"/>
  <c r="P497" i="1"/>
  <c r="Q497" i="1"/>
  <c r="R497" i="1" s="1"/>
  <c r="F498" i="1"/>
  <c r="Q498" i="1" s="1"/>
  <c r="P498" i="1"/>
  <c r="C504" i="1"/>
  <c r="A1" i="2"/>
  <c r="AA102" i="2" s="1"/>
  <c r="F1" i="2"/>
  <c r="O1" i="2"/>
  <c r="AO1" i="2"/>
  <c r="BO1" i="2"/>
  <c r="CO1" i="2"/>
  <c r="O2" i="2"/>
  <c r="AF2" i="2"/>
  <c r="AO2" i="2"/>
  <c r="BF2" i="2"/>
  <c r="BO2" i="2"/>
  <c r="CF2" i="2"/>
  <c r="CO2" i="2"/>
  <c r="F3" i="2"/>
  <c r="CF3" i="2" s="1"/>
  <c r="AF3" i="2"/>
  <c r="BF3" i="2"/>
  <c r="F4" i="2"/>
  <c r="AF4" i="2" s="1"/>
  <c r="C6" i="2"/>
  <c r="AC6" i="2"/>
  <c r="BC6" i="2"/>
  <c r="C7" i="2"/>
  <c r="BC7" i="2" s="1"/>
  <c r="D7" i="2"/>
  <c r="BD7" i="2" s="1"/>
  <c r="E7" i="2"/>
  <c r="BE7" i="2" s="1"/>
  <c r="F7" i="2"/>
  <c r="G7" i="2"/>
  <c r="H7" i="2"/>
  <c r="I7" i="2"/>
  <c r="CI7" i="2" s="1"/>
  <c r="J7" i="2"/>
  <c r="K7" i="2"/>
  <c r="BK7" i="2" s="1"/>
  <c r="L7" i="2"/>
  <c r="BL7" i="2" s="1"/>
  <c r="M7" i="2"/>
  <c r="BM7" i="2" s="1"/>
  <c r="N7" i="2"/>
  <c r="O7" i="2"/>
  <c r="AC7" i="2"/>
  <c r="AD7" i="2"/>
  <c r="AE7" i="2"/>
  <c r="AF7" i="2"/>
  <c r="AG7" i="2"/>
  <c r="AK7" i="2"/>
  <c r="AL7" i="2"/>
  <c r="AM7" i="2"/>
  <c r="AN7" i="2"/>
  <c r="AO7" i="2"/>
  <c r="BF7" i="2"/>
  <c r="BG7" i="2"/>
  <c r="BH7" i="2"/>
  <c r="BN7" i="2"/>
  <c r="BO7" i="2"/>
  <c r="CC7" i="2"/>
  <c r="CD7" i="2"/>
  <c r="CE7" i="2"/>
  <c r="CF7" i="2"/>
  <c r="CG7" i="2"/>
  <c r="CJ7" i="2"/>
  <c r="CK7" i="2"/>
  <c r="CL7" i="2"/>
  <c r="CM7" i="2"/>
  <c r="CN7" i="2"/>
  <c r="CO7" i="2"/>
  <c r="C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9" i="2"/>
  <c r="E9" i="2"/>
  <c r="F9" i="2"/>
  <c r="CF9" i="2" s="1"/>
  <c r="G9" i="2"/>
  <c r="AC9" i="2"/>
  <c r="AD9" i="2"/>
  <c r="BC9" i="2"/>
  <c r="BD9" i="2"/>
  <c r="BE9" i="2"/>
  <c r="CC9" i="2"/>
  <c r="CD9" i="2"/>
  <c r="AB11" i="2"/>
  <c r="BB11" i="2"/>
  <c r="CB11" i="2"/>
  <c r="C12" i="2"/>
  <c r="AA12" i="2"/>
  <c r="BA12" i="2" s="1"/>
  <c r="AB12" i="2"/>
  <c r="BB12" i="2"/>
  <c r="CA12" i="2"/>
  <c r="CB12" i="2"/>
  <c r="CC12" i="2"/>
  <c r="AA13" i="2"/>
  <c r="BA13" i="2" s="1"/>
  <c r="AB13" i="2"/>
  <c r="BB13" i="2"/>
  <c r="CA13" i="2"/>
  <c r="CB13" i="2"/>
  <c r="C14" i="2"/>
  <c r="AA14" i="2"/>
  <c r="AB14" i="2"/>
  <c r="AD14" i="2"/>
  <c r="BA14" i="2"/>
  <c r="BB14" i="2"/>
  <c r="BD14" i="2"/>
  <c r="BD26" i="2" s="1"/>
  <c r="CA14" i="2"/>
  <c r="CB14" i="2"/>
  <c r="CC14" i="2"/>
  <c r="C15" i="2"/>
  <c r="D15" i="2"/>
  <c r="CD15" i="2" s="1"/>
  <c r="E15" i="2"/>
  <c r="F15" i="2"/>
  <c r="AB15" i="2"/>
  <c r="BB15" i="2"/>
  <c r="CA15" i="2"/>
  <c r="CB15" i="2"/>
  <c r="CC15" i="2"/>
  <c r="CE15" i="2"/>
  <c r="CF15" i="2"/>
  <c r="C16" i="2"/>
  <c r="CC16" i="2" s="1"/>
  <c r="D16" i="2"/>
  <c r="CD16" i="2" s="1"/>
  <c r="E16" i="2"/>
  <c r="F16" i="2"/>
  <c r="AB16" i="2"/>
  <c r="BB16" i="2"/>
  <c r="CB16" i="2"/>
  <c r="CE16" i="2"/>
  <c r="CF16" i="2"/>
  <c r="C17" i="2"/>
  <c r="CC17" i="2" s="1"/>
  <c r="D17" i="2"/>
  <c r="E17" i="2"/>
  <c r="CE17" i="2" s="1"/>
  <c r="AA17" i="2"/>
  <c r="BA17" i="2" s="1"/>
  <c r="AB17" i="2"/>
  <c r="BB17" i="2"/>
  <c r="CA17" i="2"/>
  <c r="CB17" i="2"/>
  <c r="CD17" i="2"/>
  <c r="C18" i="2"/>
  <c r="D18" i="2"/>
  <c r="AA18" i="2"/>
  <c r="BA18" i="2" s="1"/>
  <c r="AB18" i="2"/>
  <c r="BB18" i="2"/>
  <c r="CA18" i="2"/>
  <c r="CB18" i="2"/>
  <c r="CC18" i="2"/>
  <c r="CD18" i="2"/>
  <c r="C19" i="2"/>
  <c r="D19" i="2"/>
  <c r="AA19" i="2"/>
  <c r="BA19" i="2" s="1"/>
  <c r="AB19" i="2"/>
  <c r="BB19" i="2"/>
  <c r="CA19" i="2"/>
  <c r="CB19" i="2"/>
  <c r="CD19" i="2"/>
  <c r="AA20" i="2"/>
  <c r="AB20" i="2"/>
  <c r="BA20" i="2"/>
  <c r="BB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21" i="2"/>
  <c r="D21" i="2"/>
  <c r="CD21" i="2" s="1"/>
  <c r="AA21" i="2"/>
  <c r="BA21" i="2" s="1"/>
  <c r="AB21" i="2"/>
  <c r="BB21" i="2"/>
  <c r="CA21" i="2"/>
  <c r="CB21" i="2"/>
  <c r="C22" i="2"/>
  <c r="D22" i="2"/>
  <c r="AB22" i="2"/>
  <c r="BB22" i="2"/>
  <c r="CB22" i="2"/>
  <c r="CC22" i="2"/>
  <c r="CD22" i="2"/>
  <c r="C23" i="2"/>
  <c r="CC23" i="2" s="1"/>
  <c r="D23" i="2"/>
  <c r="AA23" i="2"/>
  <c r="BA23" i="2" s="1"/>
  <c r="AB23" i="2"/>
  <c r="BB23" i="2"/>
  <c r="CA23" i="2"/>
  <c r="CB23" i="2"/>
  <c r="C24" i="2"/>
  <c r="D24" i="2"/>
  <c r="AA24" i="2"/>
  <c r="BA24" i="2" s="1"/>
  <c r="AB24" i="2"/>
  <c r="BB24" i="2"/>
  <c r="CA24" i="2"/>
  <c r="CB24" i="2"/>
  <c r="CC24" i="2"/>
  <c r="CD24" i="2"/>
  <c r="AB26" i="2"/>
  <c r="AC26" i="2"/>
  <c r="BB26" i="2"/>
  <c r="BC26" i="2"/>
  <c r="CB26" i="2"/>
  <c r="AB29" i="2"/>
  <c r="BB29" i="2"/>
  <c r="CB29" i="2"/>
  <c r="C30" i="2"/>
  <c r="D30" i="2"/>
  <c r="E30" i="2"/>
  <c r="AA30" i="2"/>
  <c r="AB30" i="2"/>
  <c r="AD30" i="2"/>
  <c r="AD34" i="2" s="1"/>
  <c r="AD173" i="2" s="1"/>
  <c r="AE30" i="2"/>
  <c r="BA30" i="2"/>
  <c r="BB30" i="2"/>
  <c r="CA30" i="2"/>
  <c r="CB30" i="2"/>
  <c r="C31" i="2"/>
  <c r="D31" i="2"/>
  <c r="CD31" i="2" s="1"/>
  <c r="AB31" i="2"/>
  <c r="BB31" i="2"/>
  <c r="CB31" i="2"/>
  <c r="CC31" i="2"/>
  <c r="C32" i="2"/>
  <c r="D32" i="2"/>
  <c r="CD32" i="2" s="1"/>
  <c r="E32" i="2"/>
  <c r="CE32" i="2" s="1"/>
  <c r="AA32" i="2"/>
  <c r="BA32" i="2" s="1"/>
  <c r="AB32" i="2"/>
  <c r="BB32" i="2"/>
  <c r="CA32" i="2"/>
  <c r="CB32" i="2"/>
  <c r="CC32" i="2"/>
  <c r="AB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CB34" i="2"/>
  <c r="C37" i="2"/>
  <c r="D37" i="2"/>
  <c r="E37" i="2"/>
  <c r="F37" i="2"/>
  <c r="AB37" i="2"/>
  <c r="AD37" i="2"/>
  <c r="AE37" i="2" s="1"/>
  <c r="AF37" i="2" s="1"/>
  <c r="AG37" i="2" s="1"/>
  <c r="AH37" i="2" s="1"/>
  <c r="BB37" i="2"/>
  <c r="BD37" i="2"/>
  <c r="BD40" i="2" s="1"/>
  <c r="BE37" i="2"/>
  <c r="BF37" i="2" s="1"/>
  <c r="BG37" i="2" s="1"/>
  <c r="BH37" i="2" s="1"/>
  <c r="CB37" i="2"/>
  <c r="CC37" i="2"/>
  <c r="CE37" i="2"/>
  <c r="C38" i="2"/>
  <c r="AB38" i="2"/>
  <c r="AD38" i="2"/>
  <c r="AE38" i="2" s="1"/>
  <c r="AF38" i="2" s="1"/>
  <c r="AG38" i="2" s="1"/>
  <c r="AH38" i="2" s="1"/>
  <c r="AI38" i="2" s="1"/>
  <c r="AJ38" i="2" s="1"/>
  <c r="AK38" i="2" s="1"/>
  <c r="AL38" i="2"/>
  <c r="AM38" i="2"/>
  <c r="AN38" i="2" s="1"/>
  <c r="AO38" i="2" s="1"/>
  <c r="BB38" i="2"/>
  <c r="BD38" i="2"/>
  <c r="BE38" i="2" s="1"/>
  <c r="BF38" i="2"/>
  <c r="BG38" i="2" s="1"/>
  <c r="BH38" i="2" s="1"/>
  <c r="BI38" i="2" s="1"/>
  <c r="BJ38" i="2" s="1"/>
  <c r="BK38" i="2" s="1"/>
  <c r="BL38" i="2" s="1"/>
  <c r="BM38" i="2" s="1"/>
  <c r="BN38" i="2" s="1"/>
  <c r="BO38" i="2" s="1"/>
  <c r="CB38" i="2"/>
  <c r="CC38" i="2"/>
  <c r="C40" i="2"/>
  <c r="AA40" i="2"/>
  <c r="AB40" i="2"/>
  <c r="AC40" i="2"/>
  <c r="AE40" i="2"/>
  <c r="AE119" i="2" s="1"/>
  <c r="AF40" i="2"/>
  <c r="AF119" i="2" s="1"/>
  <c r="BA40" i="2"/>
  <c r="BB40" i="2"/>
  <c r="BC40" i="2"/>
  <c r="BE40" i="2"/>
  <c r="BF40" i="2"/>
  <c r="BG40" i="2"/>
  <c r="CA40" i="2"/>
  <c r="CB40" i="2"/>
  <c r="CC40" i="2"/>
  <c r="AB43" i="2"/>
  <c r="BB43" i="2"/>
  <c r="CB43" i="2"/>
  <c r="C44" i="2"/>
  <c r="AA44" i="2"/>
  <c r="BA44" i="2" s="1"/>
  <c r="AB44" i="2"/>
  <c r="BB44" i="2"/>
  <c r="CA44" i="2"/>
  <c r="CB44" i="2"/>
  <c r="CC44" i="2"/>
  <c r="C45" i="2"/>
  <c r="AA45" i="2"/>
  <c r="BA45" i="2" s="1"/>
  <c r="AB45" i="2"/>
  <c r="BB45" i="2"/>
  <c r="CA45" i="2"/>
  <c r="CB45" i="2"/>
  <c r="CC45" i="2"/>
  <c r="C46" i="2"/>
  <c r="D46" i="2"/>
  <c r="AA46" i="2"/>
  <c r="BA46" i="2" s="1"/>
  <c r="AB46" i="2"/>
  <c r="BB46" i="2"/>
  <c r="CA46" i="2"/>
  <c r="CB46" i="2"/>
  <c r="CC46" i="2"/>
  <c r="CD46" i="2"/>
  <c r="C47" i="2"/>
  <c r="D47" i="2"/>
  <c r="E47" i="2"/>
  <c r="AA47" i="2"/>
  <c r="BA47" i="2" s="1"/>
  <c r="AB47" i="2"/>
  <c r="BB47" i="2"/>
  <c r="CA47" i="2"/>
  <c r="CB47" i="2"/>
  <c r="CC47" i="2"/>
  <c r="CD47" i="2"/>
  <c r="CE47" i="2"/>
  <c r="C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CB49" i="2"/>
  <c r="AB52" i="2"/>
  <c r="BB52" i="2"/>
  <c r="BC52" i="2"/>
  <c r="BD52" i="2"/>
  <c r="CB52" i="2"/>
  <c r="AB58" i="2"/>
  <c r="BB58" i="2"/>
  <c r="CB58" i="2"/>
  <c r="C59" i="2"/>
  <c r="AA59" i="2"/>
  <c r="AB59" i="2"/>
  <c r="BA59" i="2"/>
  <c r="BB59" i="2"/>
  <c r="BD59" i="2"/>
  <c r="BE59" i="2"/>
  <c r="BF59" i="2"/>
  <c r="BG59" i="2"/>
  <c r="CA59" i="2"/>
  <c r="CB59" i="2"/>
  <c r="CC59" i="2"/>
  <c r="C60" i="2"/>
  <c r="CC60" i="2" s="1"/>
  <c r="D60" i="2"/>
  <c r="E60" i="2"/>
  <c r="AA60" i="2"/>
  <c r="AB60" i="2"/>
  <c r="BA60" i="2"/>
  <c r="BB60" i="2"/>
  <c r="CA60" i="2"/>
  <c r="CB60" i="2"/>
  <c r="CD60" i="2"/>
  <c r="CE60" i="2"/>
  <c r="C61" i="2"/>
  <c r="D61" i="2"/>
  <c r="E61" i="2"/>
  <c r="AA61" i="2"/>
  <c r="AB61" i="2"/>
  <c r="BA61" i="2"/>
  <c r="BB61" i="2"/>
  <c r="CA61" i="2"/>
  <c r="CB61" i="2"/>
  <c r="CD61" i="2"/>
  <c r="CE61" i="2"/>
  <c r="C62" i="2"/>
  <c r="CC62" i="2" s="1"/>
  <c r="D62" i="2"/>
  <c r="AA62" i="2"/>
  <c r="AB62" i="2"/>
  <c r="BA62" i="2"/>
  <c r="BB62" i="2"/>
  <c r="CA62" i="2"/>
  <c r="CB62" i="2"/>
  <c r="CD62" i="2"/>
  <c r="C63" i="2"/>
  <c r="CC63" i="2" s="1"/>
  <c r="AA63" i="2"/>
  <c r="AB63" i="2"/>
  <c r="AD63" i="2"/>
  <c r="AE63" i="2" s="1"/>
  <c r="BA63" i="2"/>
  <c r="BB63" i="2"/>
  <c r="BD63" i="2"/>
  <c r="BE63" i="2"/>
  <c r="BF63" i="2" s="1"/>
  <c r="BG63" i="2" s="1"/>
  <c r="BH63" i="2" s="1"/>
  <c r="BI63" i="2" s="1"/>
  <c r="BJ63" i="2" s="1"/>
  <c r="BK63" i="2" s="1"/>
  <c r="BL63" i="2" s="1"/>
  <c r="BM63" i="2" s="1"/>
  <c r="BN63" i="2" s="1"/>
  <c r="BO63" i="2" s="1"/>
  <c r="CA63" i="2"/>
  <c r="CB63" i="2"/>
  <c r="C64" i="2"/>
  <c r="CC64" i="2" s="1"/>
  <c r="AA64" i="2"/>
  <c r="AB64" i="2"/>
  <c r="AD64" i="2"/>
  <c r="AE64" i="2" s="1"/>
  <c r="BA64" i="2"/>
  <c r="BB64" i="2"/>
  <c r="BD64" i="2"/>
  <c r="BE64" i="2"/>
  <c r="BF64" i="2" s="1"/>
  <c r="BG64" i="2" s="1"/>
  <c r="BH64" i="2" s="1"/>
  <c r="BI64" i="2" s="1"/>
  <c r="BJ64" i="2" s="1"/>
  <c r="BK64" i="2" s="1"/>
  <c r="BL64" i="2" s="1"/>
  <c r="BM64" i="2"/>
  <c r="BN64" i="2"/>
  <c r="BO64" i="2"/>
  <c r="CA64" i="2"/>
  <c r="CB64" i="2"/>
  <c r="C65" i="2"/>
  <c r="D65" i="2"/>
  <c r="E65" i="2"/>
  <c r="F65" i="2"/>
  <c r="AA65" i="2"/>
  <c r="AB65" i="2"/>
  <c r="BA65" i="2"/>
  <c r="BB65" i="2"/>
  <c r="CA65" i="2"/>
  <c r="CB65" i="2"/>
  <c r="CD65" i="2"/>
  <c r="CE65" i="2"/>
  <c r="CF65" i="2"/>
  <c r="C66" i="2"/>
  <c r="CC66" i="2" s="1"/>
  <c r="AA66" i="2"/>
  <c r="AB66" i="2"/>
  <c r="BA66" i="2"/>
  <c r="BB66" i="2"/>
  <c r="CA66" i="2"/>
  <c r="CB66" i="2"/>
  <c r="C67" i="2"/>
  <c r="CC67" i="2" s="1"/>
  <c r="AA67" i="2"/>
  <c r="AB67" i="2"/>
  <c r="BA67" i="2"/>
  <c r="BB67" i="2"/>
  <c r="CA67" i="2"/>
  <c r="CB67" i="2"/>
  <c r="AB69" i="2"/>
  <c r="AC69" i="2"/>
  <c r="AC95" i="2" s="1"/>
  <c r="AD69" i="2"/>
  <c r="BB69" i="2"/>
  <c r="BC69" i="2"/>
  <c r="BD69" i="2"/>
  <c r="CB69" i="2"/>
  <c r="AB71" i="2"/>
  <c r="BB71" i="2"/>
  <c r="CB71" i="2"/>
  <c r="C72" i="2"/>
  <c r="D72" i="2"/>
  <c r="E72" i="2"/>
  <c r="AA72" i="2"/>
  <c r="BA72" i="2" s="1"/>
  <c r="AB72" i="2"/>
  <c r="AD72" i="2"/>
  <c r="AE72" i="2" s="1"/>
  <c r="BB72" i="2"/>
  <c r="BD72" i="2"/>
  <c r="BE72" i="2" s="1"/>
  <c r="CA72" i="2"/>
  <c r="CB72" i="2"/>
  <c r="CC72" i="2"/>
  <c r="CD72" i="2"/>
  <c r="C73" i="2"/>
  <c r="D73" i="2"/>
  <c r="AA73" i="2"/>
  <c r="BA73" i="2" s="1"/>
  <c r="AB73" i="2"/>
  <c r="BB73" i="2"/>
  <c r="CA73" i="2"/>
  <c r="CB73" i="2"/>
  <c r="CC73" i="2"/>
  <c r="CD73" i="2"/>
  <c r="C74" i="2"/>
  <c r="D74" i="2"/>
  <c r="AA74" i="2"/>
  <c r="BA74" i="2" s="1"/>
  <c r="AB74" i="2"/>
  <c r="BB74" i="2"/>
  <c r="CA74" i="2"/>
  <c r="CB74" i="2"/>
  <c r="CC74" i="2"/>
  <c r="CD74" i="2"/>
  <c r="C75" i="2"/>
  <c r="AA75" i="2"/>
  <c r="BA75" i="2" s="1"/>
  <c r="AB75" i="2"/>
  <c r="BB75" i="2"/>
  <c r="CA75" i="2"/>
  <c r="CB75" i="2"/>
  <c r="CC75" i="2"/>
  <c r="C77" i="2"/>
  <c r="AB77" i="2"/>
  <c r="AC77" i="2"/>
  <c r="AD77" i="2"/>
  <c r="BB77" i="2"/>
  <c r="BC77" i="2"/>
  <c r="BD77" i="2"/>
  <c r="CB77" i="2"/>
  <c r="CC77" i="2"/>
  <c r="AB79" i="2"/>
  <c r="BB79" i="2"/>
  <c r="CB79" i="2"/>
  <c r="AA80" i="2"/>
  <c r="BA80" i="2" s="1"/>
  <c r="AB80" i="2"/>
  <c r="BB80" i="2"/>
  <c r="CA80" i="2"/>
  <c r="CB80" i="2"/>
  <c r="CC80" i="2"/>
  <c r="CD80" i="2"/>
  <c r="CD84" i="2" s="1"/>
  <c r="CE80" i="2"/>
  <c r="CF80" i="2"/>
  <c r="CG80" i="2"/>
  <c r="CH80" i="2"/>
  <c r="CI80" i="2"/>
  <c r="CJ80" i="2"/>
  <c r="CK80" i="2"/>
  <c r="CL80" i="2"/>
  <c r="CM80" i="2"/>
  <c r="CN80" i="2"/>
  <c r="CO80" i="2"/>
  <c r="C81" i="2"/>
  <c r="D81" i="2"/>
  <c r="E81" i="2"/>
  <c r="AA81" i="2"/>
  <c r="BA81" i="2" s="1"/>
  <c r="AB81" i="2"/>
  <c r="BB81" i="2"/>
  <c r="CA81" i="2"/>
  <c r="CB81" i="2"/>
  <c r="CC81" i="2"/>
  <c r="CD81" i="2"/>
  <c r="CE81" i="2"/>
  <c r="AA82" i="2"/>
  <c r="BA82" i="2" s="1"/>
  <c r="AB82" i="2"/>
  <c r="BB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84" i="2"/>
  <c r="D84" i="2"/>
  <c r="E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CB84" i="2"/>
  <c r="CC84" i="2"/>
  <c r="AB86" i="2"/>
  <c r="BB86" i="2"/>
  <c r="CB86" i="2"/>
  <c r="AB87" i="2"/>
  <c r="AC87" i="2"/>
  <c r="CC87" i="2" s="1"/>
  <c r="AD87" i="2"/>
  <c r="AE87" i="2" s="1"/>
  <c r="BB87" i="2"/>
  <c r="BD87" i="2"/>
  <c r="BE87" i="2"/>
  <c r="CB87" i="2"/>
  <c r="AB88" i="2"/>
  <c r="AD88" i="2"/>
  <c r="AE88" i="2" s="1"/>
  <c r="AF88" i="2" s="1"/>
  <c r="AG88" i="2" s="1"/>
  <c r="AH88" i="2"/>
  <c r="AI88" i="2" s="1"/>
  <c r="BB88" i="2"/>
  <c r="BD88" i="2"/>
  <c r="BE88" i="2" s="1"/>
  <c r="BF88" i="2" s="1"/>
  <c r="BG88" i="2" s="1"/>
  <c r="BH88" i="2" s="1"/>
  <c r="BI88" i="2" s="1"/>
  <c r="BJ88" i="2" s="1"/>
  <c r="BK88" i="2" s="1"/>
  <c r="BL88" i="2" s="1"/>
  <c r="BM88" i="2" s="1"/>
  <c r="BN88" i="2" s="1"/>
  <c r="BO88" i="2" s="1"/>
  <c r="CB88" i="2"/>
  <c r="CC88" i="2"/>
  <c r="CE88" i="2"/>
  <c r="CF88" i="2"/>
  <c r="CG88" i="2"/>
  <c r="C89" i="2"/>
  <c r="D89" i="2"/>
  <c r="E89" i="2" s="1"/>
  <c r="AB89" i="2"/>
  <c r="AD89" i="2"/>
  <c r="AE89" i="2"/>
  <c r="AF89" i="2" s="1"/>
  <c r="AG89" i="2" s="1"/>
  <c r="AH89" i="2" s="1"/>
  <c r="AI89" i="2" s="1"/>
  <c r="AJ89" i="2" s="1"/>
  <c r="AK89" i="2" s="1"/>
  <c r="AL89" i="2" s="1"/>
  <c r="AM89" i="2" s="1"/>
  <c r="AN89" i="2" s="1"/>
  <c r="AO89" i="2" s="1"/>
  <c r="BB89" i="2"/>
  <c r="BD89" i="2"/>
  <c r="BE89" i="2" s="1"/>
  <c r="BF89" i="2" s="1"/>
  <c r="BG89" i="2" s="1"/>
  <c r="BH89" i="2" s="1"/>
  <c r="BI89" i="2" s="1"/>
  <c r="BJ89" i="2" s="1"/>
  <c r="BK89" i="2" s="1"/>
  <c r="BL89" i="2" s="1"/>
  <c r="BM89" i="2" s="1"/>
  <c r="BN89" i="2" s="1"/>
  <c r="BO89" i="2" s="1"/>
  <c r="CB89" i="2"/>
  <c r="CC89" i="2"/>
  <c r="C90" i="2"/>
  <c r="C92" i="2" s="1"/>
  <c r="AB90" i="2"/>
  <c r="AD90" i="2"/>
  <c r="AE90" i="2" s="1"/>
  <c r="AF90" i="2"/>
  <c r="AG90" i="2" s="1"/>
  <c r="AH90" i="2" s="1"/>
  <c r="AI90" i="2" s="1"/>
  <c r="AJ90" i="2" s="1"/>
  <c r="AK90" i="2" s="1"/>
  <c r="AL90" i="2" s="1"/>
  <c r="AM90" i="2" s="1"/>
  <c r="AN90" i="2" s="1"/>
  <c r="AO90" i="2" s="1"/>
  <c r="BB90" i="2"/>
  <c r="BD90" i="2"/>
  <c r="BE90" i="2"/>
  <c r="BF90" i="2" s="1"/>
  <c r="BG90" i="2" s="1"/>
  <c r="BH90" i="2" s="1"/>
  <c r="BI90" i="2"/>
  <c r="BJ90" i="2" s="1"/>
  <c r="BK90" i="2" s="1"/>
  <c r="BL90" i="2" s="1"/>
  <c r="BM90" i="2" s="1"/>
  <c r="BN90" i="2" s="1"/>
  <c r="BO90" i="2" s="1"/>
  <c r="CB90" i="2"/>
  <c r="CC90" i="2"/>
  <c r="AA92" i="2"/>
  <c r="AB92" i="2"/>
  <c r="AC92" i="2"/>
  <c r="BA92" i="2"/>
  <c r="BB92" i="2"/>
  <c r="BC92" i="2"/>
  <c r="CA92" i="2"/>
  <c r="CB92" i="2"/>
  <c r="AB95" i="2"/>
  <c r="BB95" i="2"/>
  <c r="BC95" i="2"/>
  <c r="CB95" i="2"/>
  <c r="AB98" i="2"/>
  <c r="BB98" i="2"/>
  <c r="BC98" i="2"/>
  <c r="CB98" i="2"/>
  <c r="F102" i="2"/>
  <c r="P102" i="2"/>
  <c r="AF102" i="2"/>
  <c r="AP102" i="2"/>
  <c r="P103" i="2"/>
  <c r="AP103" i="2"/>
  <c r="F104" i="2"/>
  <c r="AF104" i="2"/>
  <c r="F105" i="2"/>
  <c r="AF105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C110" i="2"/>
  <c r="D110" i="2"/>
  <c r="E110" i="2"/>
  <c r="F110" i="2"/>
  <c r="G110" i="2"/>
  <c r="C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C116" i="2"/>
  <c r="C117" i="2"/>
  <c r="D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D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C119" i="2"/>
  <c r="AC119" i="2"/>
  <c r="AD120" i="2"/>
  <c r="C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C127" i="2"/>
  <c r="AC127" i="2"/>
  <c r="AD127" i="2"/>
  <c r="AE127" i="2"/>
  <c r="AF127" i="2"/>
  <c r="AG127" i="2"/>
  <c r="AG133" i="2" s="1"/>
  <c r="AH127" i="2"/>
  <c r="AH133" i="2" s="1"/>
  <c r="AI127" i="2"/>
  <c r="AI133" i="2" s="1"/>
  <c r="AJ127" i="2"/>
  <c r="AK127" i="2"/>
  <c r="AL127" i="2"/>
  <c r="AM127" i="2"/>
  <c r="AN127" i="2"/>
  <c r="AO127" i="2"/>
  <c r="AO133" i="2" s="1"/>
  <c r="AP127" i="2"/>
  <c r="AP133" i="2" s="1"/>
  <c r="AC128" i="2"/>
  <c r="AD128" i="2"/>
  <c r="C129" i="2"/>
  <c r="AC129" i="2"/>
  <c r="AD129" i="2"/>
  <c r="C130" i="2"/>
  <c r="D130" i="2"/>
  <c r="E130" i="2"/>
  <c r="AC130" i="2"/>
  <c r="AD130" i="2"/>
  <c r="AE130" i="2"/>
  <c r="C131" i="2"/>
  <c r="P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C133" i="2"/>
  <c r="AD133" i="2"/>
  <c r="AE133" i="2"/>
  <c r="AF133" i="2"/>
  <c r="AJ133" i="2"/>
  <c r="AK133" i="2"/>
  <c r="AL133" i="2"/>
  <c r="AM133" i="2"/>
  <c r="AN133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AC136" i="2"/>
  <c r="AC140" i="2" s="1"/>
  <c r="AC144" i="2" s="1"/>
  <c r="AD136" i="2"/>
  <c r="AE136" i="2"/>
  <c r="AF136" i="2"/>
  <c r="AG136" i="2"/>
  <c r="AH136" i="2"/>
  <c r="AH140" i="2" s="1"/>
  <c r="AI136" i="2"/>
  <c r="AI140" i="2" s="1"/>
  <c r="AJ136" i="2"/>
  <c r="AJ140" i="2" s="1"/>
  <c r="AK136" i="2"/>
  <c r="AK140" i="2" s="1"/>
  <c r="AL136" i="2"/>
  <c r="AM136" i="2"/>
  <c r="AN136" i="2"/>
  <c r="AO136" i="2"/>
  <c r="AP136" i="2"/>
  <c r="P137" i="2"/>
  <c r="AP137" i="2"/>
  <c r="C138" i="2"/>
  <c r="D138" i="2"/>
  <c r="E138" i="2"/>
  <c r="AC138" i="2"/>
  <c r="AD138" i="2"/>
  <c r="AD140" i="2" s="1"/>
  <c r="AD144" i="2" s="1"/>
  <c r="AD149" i="2" s="1"/>
  <c r="AE138" i="2"/>
  <c r="AF138" i="2"/>
  <c r="AG138" i="2"/>
  <c r="AH138" i="2"/>
  <c r="AI138" i="2"/>
  <c r="AJ138" i="2"/>
  <c r="AK138" i="2"/>
  <c r="AL138" i="2"/>
  <c r="AL140" i="2" s="1"/>
  <c r="AM138" i="2"/>
  <c r="AM140" i="2" s="1"/>
  <c r="AN138" i="2"/>
  <c r="AO138" i="2"/>
  <c r="D140" i="2"/>
  <c r="E140" i="2"/>
  <c r="AE140" i="2"/>
  <c r="AF140" i="2"/>
  <c r="AG140" i="2"/>
  <c r="AN140" i="2"/>
  <c r="AO140" i="2"/>
  <c r="C141" i="2"/>
  <c r="AC141" i="2"/>
  <c r="AD141" i="2"/>
  <c r="A157" i="2"/>
  <c r="F157" i="2"/>
  <c r="P157" i="2"/>
  <c r="AF157" i="2"/>
  <c r="AP157" i="2"/>
  <c r="P158" i="2"/>
  <c r="AP158" i="2"/>
  <c r="F159" i="2"/>
  <c r="AF159" i="2"/>
  <c r="F160" i="2"/>
  <c r="AF160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C165" i="2"/>
  <c r="D165" i="2"/>
  <c r="E165" i="2"/>
  <c r="F165" i="2"/>
  <c r="G165" i="2"/>
  <c r="C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C170" i="2"/>
  <c r="C171" i="2"/>
  <c r="D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D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C174" i="2"/>
  <c r="AC174" i="2"/>
  <c r="AE174" i="2"/>
  <c r="AF174" i="2"/>
  <c r="C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C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C179" i="2"/>
  <c r="D179" i="2"/>
  <c r="E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C185" i="2"/>
  <c r="AC185" i="2"/>
  <c r="AD185" i="2"/>
  <c r="AE185" i="2"/>
  <c r="AF185" i="2"/>
  <c r="AF196" i="2" s="1"/>
  <c r="AG185" i="2"/>
  <c r="AH185" i="2"/>
  <c r="AI185" i="2"/>
  <c r="AJ185" i="2"/>
  <c r="AK185" i="2"/>
  <c r="AL185" i="2"/>
  <c r="AM185" i="2"/>
  <c r="AN185" i="2"/>
  <c r="AN196" i="2" s="1"/>
  <c r="AO185" i="2"/>
  <c r="AC186" i="2"/>
  <c r="AD186" i="2"/>
  <c r="AE186" i="2"/>
  <c r="C188" i="2"/>
  <c r="AC188" i="2"/>
  <c r="AD188" i="2"/>
  <c r="C189" i="2"/>
  <c r="D189" i="2"/>
  <c r="E189" i="2"/>
  <c r="AC189" i="2"/>
  <c r="AD189" i="2"/>
  <c r="AE189" i="2"/>
  <c r="C191" i="2"/>
  <c r="D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C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C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C196" i="2"/>
  <c r="AD196" i="2"/>
  <c r="AE196" i="2"/>
  <c r="AG196" i="2"/>
  <c r="AH196" i="2"/>
  <c r="AI196" i="2"/>
  <c r="AJ196" i="2"/>
  <c r="AK196" i="2"/>
  <c r="AL196" i="2"/>
  <c r="AM196" i="2"/>
  <c r="AO196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C200" i="2"/>
  <c r="D200" i="2"/>
  <c r="E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C201" i="2"/>
  <c r="AC201" i="2"/>
  <c r="C203" i="2"/>
  <c r="AC203" i="2"/>
  <c r="AC205" i="2" s="1"/>
  <c r="A1" i="3"/>
  <c r="AA1" i="3" s="1"/>
  <c r="I1" i="3"/>
  <c r="AD1" i="3" s="1"/>
  <c r="V1" i="3"/>
  <c r="AQ1" i="3"/>
  <c r="V2" i="3"/>
  <c r="AD2" i="3"/>
  <c r="AQ2" i="3"/>
  <c r="I3" i="3"/>
  <c r="I4" i="3"/>
  <c r="AD4" i="3"/>
  <c r="D5" i="3"/>
  <c r="E5" i="3"/>
  <c r="F5" i="3"/>
  <c r="F124" i="3" s="1"/>
  <c r="F5" i="5" s="1"/>
  <c r="AF5" i="5" s="1"/>
  <c r="G5" i="3"/>
  <c r="H5" i="3"/>
  <c r="I5" i="3"/>
  <c r="J5" i="3"/>
  <c r="K5" i="3"/>
  <c r="L5" i="3"/>
  <c r="M5" i="3"/>
  <c r="N5" i="3"/>
  <c r="N124" i="3" s="1"/>
  <c r="N5" i="5" s="1"/>
  <c r="O5" i="3"/>
  <c r="V5" i="3"/>
  <c r="AF5" i="3"/>
  <c r="AK5" i="3"/>
  <c r="D6" i="3"/>
  <c r="E6" i="3"/>
  <c r="F6" i="3"/>
  <c r="G6" i="3"/>
  <c r="H6" i="3"/>
  <c r="H69" i="3" s="1"/>
  <c r="I6" i="3"/>
  <c r="I69" i="3" s="1"/>
  <c r="J6" i="3"/>
  <c r="K6" i="3"/>
  <c r="L6" i="3"/>
  <c r="M6" i="3"/>
  <c r="N6" i="3"/>
  <c r="O6" i="3"/>
  <c r="P6" i="3"/>
  <c r="R6" i="3"/>
  <c r="V6" i="3"/>
  <c r="AF6" i="3"/>
  <c r="AG6" i="3"/>
  <c r="AH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AD7" i="3" s="1"/>
  <c r="T7" i="3"/>
  <c r="AF7" i="3" s="1"/>
  <c r="U7" i="3"/>
  <c r="V7" i="3"/>
  <c r="AB7" i="3"/>
  <c r="AC7" i="3"/>
  <c r="AG7" i="3"/>
  <c r="AJ7" i="3"/>
  <c r="AM7" i="3"/>
  <c r="AQ7" i="3"/>
  <c r="AA8" i="3"/>
  <c r="D9" i="3"/>
  <c r="E9" i="3"/>
  <c r="F9" i="3"/>
  <c r="Q9" i="3" s="1"/>
  <c r="G9" i="3"/>
  <c r="H9" i="3"/>
  <c r="I9" i="3"/>
  <c r="J9" i="3"/>
  <c r="K9" i="3"/>
  <c r="L9" i="3"/>
  <c r="M9" i="3"/>
  <c r="N9" i="3"/>
  <c r="O9" i="3"/>
  <c r="P9" i="3"/>
  <c r="V9" i="3"/>
  <c r="AA9" i="3"/>
  <c r="AC9" i="3"/>
  <c r="AF9" i="3"/>
  <c r="AH9" i="3" s="1"/>
  <c r="AG9" i="3"/>
  <c r="AA10" i="3"/>
  <c r="V11" i="3"/>
  <c r="AA11" i="3"/>
  <c r="AF11" i="3"/>
  <c r="AG11" i="3"/>
  <c r="AH11" i="3"/>
  <c r="V12" i="3"/>
  <c r="AA12" i="3"/>
  <c r="AF12" i="3"/>
  <c r="AG12" i="3"/>
  <c r="V13" i="3"/>
  <c r="AA13" i="3"/>
  <c r="AF13" i="3"/>
  <c r="AH13" i="3" s="1"/>
  <c r="AG13" i="3"/>
  <c r="AA15" i="3"/>
  <c r="V16" i="3"/>
  <c r="AA16" i="3"/>
  <c r="AF16" i="3"/>
  <c r="AG16" i="3"/>
  <c r="D17" i="3"/>
  <c r="V17" i="3"/>
  <c r="AA17" i="3"/>
  <c r="AF17" i="3"/>
  <c r="AH17" i="3" s="1"/>
  <c r="AG17" i="3"/>
  <c r="V18" i="3"/>
  <c r="AA18" i="3"/>
  <c r="AF18" i="3"/>
  <c r="AG18" i="3"/>
  <c r="AH18" i="3"/>
  <c r="D19" i="3"/>
  <c r="V19" i="3"/>
  <c r="AA19" i="3"/>
  <c r="AF19" i="3"/>
  <c r="AG19" i="3"/>
  <c r="AH19" i="3"/>
  <c r="P20" i="3"/>
  <c r="Q20" i="3"/>
  <c r="R20" i="3" s="1"/>
  <c r="R148" i="3" s="1"/>
  <c r="V20" i="3"/>
  <c r="AA20" i="3"/>
  <c r="AB20" i="3"/>
  <c r="AC20" i="3"/>
  <c r="AF20" i="3"/>
  <c r="AG20" i="3"/>
  <c r="AH20" i="3"/>
  <c r="AJ20" i="3"/>
  <c r="AN20" i="3"/>
  <c r="AQ20" i="3"/>
  <c r="V21" i="3"/>
  <c r="AA21" i="3"/>
  <c r="AF21" i="3"/>
  <c r="AG21" i="3"/>
  <c r="AH21" i="3"/>
  <c r="V22" i="3"/>
  <c r="V147" i="3" s="1"/>
  <c r="AA22" i="3"/>
  <c r="AF22" i="3"/>
  <c r="AG22" i="3"/>
  <c r="AH22" i="3"/>
  <c r="V23" i="3"/>
  <c r="AA23" i="3"/>
  <c r="AF23" i="3"/>
  <c r="AG23" i="3"/>
  <c r="AH23" i="3"/>
  <c r="D24" i="3"/>
  <c r="E24" i="3"/>
  <c r="V24" i="3"/>
  <c r="AA24" i="3"/>
  <c r="AF24" i="3"/>
  <c r="AH24" i="3" s="1"/>
  <c r="AG24" i="3"/>
  <c r="V25" i="3"/>
  <c r="V151" i="3" s="1"/>
  <c r="AA25" i="3"/>
  <c r="AF25" i="3"/>
  <c r="AG25" i="3"/>
  <c r="AH25" i="3" s="1"/>
  <c r="V26" i="3"/>
  <c r="AA26" i="3"/>
  <c r="AF26" i="3"/>
  <c r="AG26" i="3"/>
  <c r="V28" i="3"/>
  <c r="AA28" i="3"/>
  <c r="AF28" i="3"/>
  <c r="AH28" i="3" s="1"/>
  <c r="AG28" i="3"/>
  <c r="V29" i="3"/>
  <c r="AA29" i="3"/>
  <c r="AF29" i="3"/>
  <c r="AH29" i="3" s="1"/>
  <c r="AG29" i="3"/>
  <c r="D30" i="3"/>
  <c r="E30" i="3"/>
  <c r="F30" i="3"/>
  <c r="G30" i="3"/>
  <c r="H30" i="3"/>
  <c r="I30" i="3"/>
  <c r="J30" i="3"/>
  <c r="K30" i="3"/>
  <c r="K87" i="3" s="1"/>
  <c r="L30" i="3"/>
  <c r="M30" i="3"/>
  <c r="N30" i="3"/>
  <c r="O30" i="3"/>
  <c r="V30" i="3"/>
  <c r="AA30" i="3"/>
  <c r="AF30" i="3"/>
  <c r="AH30" i="3" s="1"/>
  <c r="AG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V31" i="3"/>
  <c r="AA31" i="3"/>
  <c r="AF31" i="3"/>
  <c r="AG31" i="3"/>
  <c r="D32" i="3"/>
  <c r="E32" i="3"/>
  <c r="F32" i="3"/>
  <c r="G32" i="3"/>
  <c r="H32" i="3"/>
  <c r="I32" i="3"/>
  <c r="J32" i="3"/>
  <c r="K32" i="3"/>
  <c r="L32" i="3"/>
  <c r="M32" i="3"/>
  <c r="N32" i="3"/>
  <c r="O32" i="3"/>
  <c r="V32" i="3"/>
  <c r="AA32" i="3"/>
  <c r="AC32" i="3"/>
  <c r="AF32" i="3"/>
  <c r="AG32" i="3"/>
  <c r="AH32" i="3"/>
  <c r="V33" i="3"/>
  <c r="AA33" i="3"/>
  <c r="AF33" i="3"/>
  <c r="AG33" i="3"/>
  <c r="AH33" i="3"/>
  <c r="V34" i="3"/>
  <c r="AA34" i="3"/>
  <c r="AF34" i="3"/>
  <c r="AG34" i="3"/>
  <c r="T36" i="3"/>
  <c r="U36" i="3"/>
  <c r="U47" i="3" s="1"/>
  <c r="U57" i="3" s="1"/>
  <c r="U61" i="3" s="1"/>
  <c r="AA36" i="3"/>
  <c r="AM36" i="3"/>
  <c r="AP36" i="3"/>
  <c r="AA38" i="3"/>
  <c r="V39" i="3"/>
  <c r="AA39" i="3"/>
  <c r="AF39" i="3"/>
  <c r="AH39" i="3" s="1"/>
  <c r="AG39" i="3"/>
  <c r="AG45" i="3" s="1"/>
  <c r="V40" i="3"/>
  <c r="V90" i="3" s="1"/>
  <c r="AA40" i="3"/>
  <c r="AF40" i="3"/>
  <c r="AG40" i="3"/>
  <c r="AH40" i="3" s="1"/>
  <c r="V41" i="3"/>
  <c r="AA41" i="3"/>
  <c r="AF41" i="3"/>
  <c r="AG41" i="3"/>
  <c r="V42" i="3"/>
  <c r="AA42" i="3"/>
  <c r="AF42" i="3"/>
  <c r="AH42" i="3" s="1"/>
  <c r="AG42" i="3"/>
  <c r="V43" i="3"/>
  <c r="AA43" i="3"/>
  <c r="AF43" i="3"/>
  <c r="AH43" i="3" s="1"/>
  <c r="AG43" i="3"/>
  <c r="T45" i="3"/>
  <c r="U45" i="3"/>
  <c r="AA45" i="3"/>
  <c r="AM45" i="3"/>
  <c r="AP45" i="3"/>
  <c r="T47" i="3"/>
  <c r="AA47" i="3"/>
  <c r="AM47" i="3"/>
  <c r="AM57" i="3" s="1"/>
  <c r="AM61" i="3" s="1"/>
  <c r="AP47" i="3"/>
  <c r="AA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V50" i="3"/>
  <c r="V55" i="3" s="1"/>
  <c r="AA50" i="3"/>
  <c r="AF50" i="3"/>
  <c r="AG50" i="3"/>
  <c r="V51" i="3"/>
  <c r="AA51" i="3"/>
  <c r="AF51" i="3"/>
  <c r="AH51" i="3" s="1"/>
  <c r="AG51" i="3"/>
  <c r="P52" i="3"/>
  <c r="R52" i="3" s="1"/>
  <c r="Q52" i="3"/>
  <c r="V52" i="3"/>
  <c r="AA52" i="3"/>
  <c r="AB52" i="3"/>
  <c r="AC52" i="3"/>
  <c r="AF52" i="3"/>
  <c r="AH52" i="3" s="1"/>
  <c r="AG52" i="3"/>
  <c r="K53" i="3"/>
  <c r="V53" i="3"/>
  <c r="AA53" i="3"/>
  <c r="AF53" i="3"/>
  <c r="AG53" i="3"/>
  <c r="AG55" i="3" s="1"/>
  <c r="T55" i="3"/>
  <c r="T57" i="3" s="1"/>
  <c r="T61" i="3" s="1"/>
  <c r="U55" i="3"/>
  <c r="AA55" i="3"/>
  <c r="AM55" i="3"/>
  <c r="AP55" i="3"/>
  <c r="AA57" i="3"/>
  <c r="AP57" i="3"/>
  <c r="AP61" i="3" s="1"/>
  <c r="D59" i="3"/>
  <c r="V59" i="3"/>
  <c r="AA59" i="3"/>
  <c r="AF59" i="3"/>
  <c r="AG59" i="3"/>
  <c r="AG104" i="3" s="1"/>
  <c r="AA61" i="3"/>
  <c r="A64" i="3"/>
  <c r="I64" i="3"/>
  <c r="V64" i="3"/>
  <c r="AA64" i="3"/>
  <c r="AD64" i="3"/>
  <c r="AQ64" i="3"/>
  <c r="V65" i="3"/>
  <c r="AD65" i="3"/>
  <c r="AQ65" i="3"/>
  <c r="I67" i="3"/>
  <c r="AD67" i="3"/>
  <c r="T68" i="3"/>
  <c r="AF68" i="3"/>
  <c r="AK68" i="3"/>
  <c r="D69" i="3"/>
  <c r="E69" i="3"/>
  <c r="F69" i="3"/>
  <c r="J69" i="3"/>
  <c r="K69" i="3"/>
  <c r="L69" i="3"/>
  <c r="M69" i="3"/>
  <c r="N69" i="3"/>
  <c r="Q69" i="3"/>
  <c r="T69" i="3"/>
  <c r="U69" i="3"/>
  <c r="V69" i="3"/>
  <c r="AC69" i="3"/>
  <c r="AF69" i="3"/>
  <c r="AG69" i="3"/>
  <c r="AH69" i="3"/>
  <c r="AJ69" i="3"/>
  <c r="AM69" i="3"/>
  <c r="AP69" i="3"/>
  <c r="D70" i="3"/>
  <c r="F70" i="3"/>
  <c r="G70" i="3"/>
  <c r="H70" i="3"/>
  <c r="I70" i="3"/>
  <c r="J70" i="3"/>
  <c r="K70" i="3"/>
  <c r="L70" i="3"/>
  <c r="N70" i="3"/>
  <c r="O70" i="3"/>
  <c r="P70" i="3"/>
  <c r="Q70" i="3"/>
  <c r="R70" i="3"/>
  <c r="T70" i="3"/>
  <c r="U70" i="3"/>
  <c r="AB70" i="3"/>
  <c r="AC70" i="3"/>
  <c r="AD70" i="3"/>
  <c r="AF70" i="3"/>
  <c r="AG70" i="3"/>
  <c r="AJ70" i="3"/>
  <c r="AK70" i="3"/>
  <c r="AM70" i="3"/>
  <c r="AN70" i="3"/>
  <c r="AP70" i="3"/>
  <c r="AQ70" i="3"/>
  <c r="AA72" i="3"/>
  <c r="D73" i="3"/>
  <c r="E73" i="3"/>
  <c r="F73" i="3"/>
  <c r="G73" i="3"/>
  <c r="H73" i="3"/>
  <c r="I73" i="3"/>
  <c r="J73" i="3"/>
  <c r="K73" i="3"/>
  <c r="L73" i="3"/>
  <c r="M73" i="3"/>
  <c r="N73" i="3"/>
  <c r="O73" i="3"/>
  <c r="T73" i="3"/>
  <c r="AF73" i="3" s="1"/>
  <c r="U73" i="3"/>
  <c r="V73" i="3"/>
  <c r="AA73" i="3"/>
  <c r="AG73" i="3"/>
  <c r="AM73" i="3"/>
  <c r="AP73" i="3"/>
  <c r="T74" i="3"/>
  <c r="AF74" i="3" s="1"/>
  <c r="AH74" i="3" s="1"/>
  <c r="U74" i="3"/>
  <c r="V74" i="3"/>
  <c r="AA74" i="3"/>
  <c r="AG74" i="3"/>
  <c r="AM74" i="3"/>
  <c r="AP74" i="3"/>
  <c r="T75" i="3"/>
  <c r="U75" i="3"/>
  <c r="V75" i="3"/>
  <c r="AA75" i="3"/>
  <c r="AF75" i="3"/>
  <c r="AG75" i="3"/>
  <c r="AH75" i="3"/>
  <c r="AM75" i="3"/>
  <c r="AP75" i="3"/>
  <c r="T76" i="3"/>
  <c r="U76" i="3"/>
  <c r="V76" i="3"/>
  <c r="AA76" i="3"/>
  <c r="AF76" i="3"/>
  <c r="AH76" i="3" s="1"/>
  <c r="AG76" i="3"/>
  <c r="AM76" i="3"/>
  <c r="AP76" i="3"/>
  <c r="P77" i="3"/>
  <c r="Q77" i="3"/>
  <c r="R77" i="3"/>
  <c r="AA77" i="3"/>
  <c r="AB77" i="3"/>
  <c r="AC77" i="3"/>
  <c r="AJ77" i="3" s="1"/>
  <c r="AF77" i="3"/>
  <c r="AH77" i="3" s="1"/>
  <c r="AQ77" i="3"/>
  <c r="T78" i="3"/>
  <c r="U78" i="3"/>
  <c r="V78" i="3"/>
  <c r="AA78" i="3"/>
  <c r="AF78" i="3"/>
  <c r="AH78" i="3" s="1"/>
  <c r="AG78" i="3"/>
  <c r="AM78" i="3"/>
  <c r="AP78" i="3"/>
  <c r="AP81" i="3" s="1"/>
  <c r="P79" i="3"/>
  <c r="Q79" i="3"/>
  <c r="AA79" i="3"/>
  <c r="AC79" i="3"/>
  <c r="AQ79" i="3" s="1"/>
  <c r="AF79" i="3"/>
  <c r="AH79" i="3"/>
  <c r="AJ79" i="3"/>
  <c r="V81" i="3"/>
  <c r="AA81" i="3"/>
  <c r="AM81" i="3"/>
  <c r="AA83" i="3"/>
  <c r="P84" i="3"/>
  <c r="Q84" i="3"/>
  <c r="R84" i="3" s="1"/>
  <c r="AA84" i="3"/>
  <c r="AB84" i="3"/>
  <c r="AC84" i="3"/>
  <c r="AQ84" i="3" s="1"/>
  <c r="AD84" i="3"/>
  <c r="AF84" i="3"/>
  <c r="AH84" i="3"/>
  <c r="AJ84" i="3"/>
  <c r="AK84" i="3"/>
  <c r="AN84" i="3"/>
  <c r="P85" i="3"/>
  <c r="R85" i="3" s="1"/>
  <c r="Q85" i="3"/>
  <c r="AA85" i="3"/>
  <c r="AB85" i="3"/>
  <c r="AC85" i="3"/>
  <c r="AJ85" i="3" s="1"/>
  <c r="AF85" i="3"/>
  <c r="AH85" i="3"/>
  <c r="T86" i="3"/>
  <c r="AF86" i="3" s="1"/>
  <c r="U86" i="3"/>
  <c r="AA86" i="3"/>
  <c r="AG86" i="3"/>
  <c r="AH86" i="3" s="1"/>
  <c r="AH113" i="3" s="1"/>
  <c r="AH115" i="3" s="1"/>
  <c r="AM86" i="3"/>
  <c r="AP86" i="3"/>
  <c r="D87" i="3"/>
  <c r="E87" i="3"/>
  <c r="F87" i="3"/>
  <c r="G87" i="3"/>
  <c r="H87" i="3"/>
  <c r="I87" i="3"/>
  <c r="J87" i="3"/>
  <c r="M87" i="3"/>
  <c r="N87" i="3"/>
  <c r="O87" i="3"/>
  <c r="T87" i="3"/>
  <c r="U87" i="3"/>
  <c r="V87" i="3"/>
  <c r="AA87" i="3"/>
  <c r="AF87" i="3"/>
  <c r="AG87" i="3"/>
  <c r="AH87" i="3"/>
  <c r="AM87" i="3"/>
  <c r="AP87" i="3"/>
  <c r="AP94" i="3" s="1"/>
  <c r="AP102" i="3" s="1"/>
  <c r="D88" i="3"/>
  <c r="E88" i="3"/>
  <c r="F88" i="3"/>
  <c r="G88" i="3"/>
  <c r="I88" i="3"/>
  <c r="J88" i="3"/>
  <c r="K88" i="3"/>
  <c r="L88" i="3"/>
  <c r="M88" i="3"/>
  <c r="N88" i="3"/>
  <c r="O88" i="3"/>
  <c r="T88" i="3"/>
  <c r="U88" i="3"/>
  <c r="V88" i="3"/>
  <c r="AA88" i="3"/>
  <c r="AF88" i="3"/>
  <c r="AM88" i="3"/>
  <c r="AP88" i="3"/>
  <c r="T89" i="3"/>
  <c r="U89" i="3"/>
  <c r="V89" i="3"/>
  <c r="AA89" i="3"/>
  <c r="AF89" i="3"/>
  <c r="AH89" i="3" s="1"/>
  <c r="AG89" i="3"/>
  <c r="AM89" i="3"/>
  <c r="AP89" i="3"/>
  <c r="T90" i="3"/>
  <c r="U90" i="3"/>
  <c r="AA90" i="3"/>
  <c r="AF90" i="3"/>
  <c r="AH90" i="3" s="1"/>
  <c r="AG90" i="3"/>
  <c r="AM90" i="3"/>
  <c r="AP90" i="3"/>
  <c r="P91" i="3"/>
  <c r="Q91" i="3"/>
  <c r="AA91" i="3"/>
  <c r="AC91" i="3"/>
  <c r="AF91" i="3"/>
  <c r="AH91" i="3"/>
  <c r="AJ91" i="3"/>
  <c r="AQ91" i="3"/>
  <c r="T92" i="3"/>
  <c r="AF92" i="3" s="1"/>
  <c r="U92" i="3"/>
  <c r="V92" i="3"/>
  <c r="AA92" i="3"/>
  <c r="AG92" i="3"/>
  <c r="AH92" i="3" s="1"/>
  <c r="AM92" i="3"/>
  <c r="AP92" i="3"/>
  <c r="AA94" i="3"/>
  <c r="AM94" i="3"/>
  <c r="AM102" i="3" s="1"/>
  <c r="AM106" i="3" s="1"/>
  <c r="AA96" i="3"/>
  <c r="T97" i="3"/>
  <c r="AF97" i="3" s="1"/>
  <c r="AH97" i="3" s="1"/>
  <c r="U97" i="3"/>
  <c r="V97" i="3"/>
  <c r="AA97" i="3"/>
  <c r="AG97" i="3"/>
  <c r="AM97" i="3"/>
  <c r="AP97" i="3"/>
  <c r="D98" i="3"/>
  <c r="E98" i="3"/>
  <c r="F98" i="3"/>
  <c r="G98" i="3"/>
  <c r="I98" i="3"/>
  <c r="J98" i="3"/>
  <c r="K98" i="3"/>
  <c r="L98" i="3"/>
  <c r="M98" i="3"/>
  <c r="N98" i="3"/>
  <c r="O98" i="3"/>
  <c r="T98" i="3"/>
  <c r="U98" i="3"/>
  <c r="V98" i="3"/>
  <c r="AA98" i="3"/>
  <c r="AF98" i="3"/>
  <c r="AH98" i="3" s="1"/>
  <c r="AG98" i="3"/>
  <c r="AM98" i="3"/>
  <c r="AP98" i="3"/>
  <c r="T99" i="3"/>
  <c r="AF99" i="3" s="1"/>
  <c r="U99" i="3"/>
  <c r="V99" i="3"/>
  <c r="AA99" i="3"/>
  <c r="AG99" i="3"/>
  <c r="AH99" i="3" s="1"/>
  <c r="AM99" i="3"/>
  <c r="AP99" i="3"/>
  <c r="P100" i="3"/>
  <c r="AB100" i="3" s="1"/>
  <c r="Q100" i="3"/>
  <c r="R100" i="3"/>
  <c r="AA100" i="3"/>
  <c r="AC100" i="3"/>
  <c r="AF100" i="3"/>
  <c r="AH100" i="3"/>
  <c r="AJ100" i="3"/>
  <c r="AK100" i="3"/>
  <c r="AQ100" i="3"/>
  <c r="AA102" i="3"/>
  <c r="D104" i="3"/>
  <c r="T104" i="3"/>
  <c r="U104" i="3"/>
  <c r="V104" i="3"/>
  <c r="AA104" i="3"/>
  <c r="AF104" i="3"/>
  <c r="AM104" i="3"/>
  <c r="AP104" i="3"/>
  <c r="AA106" i="3"/>
  <c r="AP106" i="3"/>
  <c r="AP109" i="3" s="1"/>
  <c r="AA109" i="3"/>
  <c r="AA112" i="3"/>
  <c r="T113" i="3"/>
  <c r="U113" i="3"/>
  <c r="AA113" i="3"/>
  <c r="AF113" i="3"/>
  <c r="AF115" i="3" s="1"/>
  <c r="AM113" i="3"/>
  <c r="AP113" i="3"/>
  <c r="T115" i="3"/>
  <c r="U115" i="3"/>
  <c r="AA115" i="3"/>
  <c r="AM115" i="3"/>
  <c r="AP115" i="3"/>
  <c r="A120" i="3"/>
  <c r="I120" i="3"/>
  <c r="V120" i="3"/>
  <c r="AA120" i="3"/>
  <c r="AD120" i="3"/>
  <c r="AQ120" i="3"/>
  <c r="V121" i="3"/>
  <c r="AD121" i="3"/>
  <c r="AQ121" i="3"/>
  <c r="I122" i="3"/>
  <c r="AD122" i="3"/>
  <c r="I123" i="3"/>
  <c r="AD123" i="3"/>
  <c r="D124" i="3"/>
  <c r="E124" i="3"/>
  <c r="G124" i="3"/>
  <c r="H124" i="3"/>
  <c r="I124" i="3"/>
  <c r="J124" i="3"/>
  <c r="K124" i="3"/>
  <c r="L124" i="3"/>
  <c r="M124" i="3"/>
  <c r="O124" i="3"/>
  <c r="T124" i="3"/>
  <c r="V124" i="3"/>
  <c r="AF124" i="3"/>
  <c r="AK124" i="3"/>
  <c r="D125" i="3"/>
  <c r="E125" i="3"/>
  <c r="F125" i="3"/>
  <c r="F6" i="5" s="1"/>
  <c r="AF6" i="5" s="1"/>
  <c r="H125" i="3"/>
  <c r="I125" i="3"/>
  <c r="J125" i="3"/>
  <c r="K125" i="3"/>
  <c r="L125" i="3"/>
  <c r="M125" i="3"/>
  <c r="N125" i="3"/>
  <c r="N6" i="5" s="1"/>
  <c r="AN6" i="5" s="1"/>
  <c r="P125" i="3"/>
  <c r="Q125" i="3"/>
  <c r="R125" i="3"/>
  <c r="T125" i="3"/>
  <c r="U125" i="3"/>
  <c r="V125" i="3"/>
  <c r="AC125" i="3"/>
  <c r="AF125" i="3"/>
  <c r="AG125" i="3"/>
  <c r="AH125" i="3"/>
  <c r="AJ125" i="3"/>
  <c r="AM125" i="3"/>
  <c r="AP125" i="3"/>
  <c r="D126" i="3"/>
  <c r="F126" i="3"/>
  <c r="G126" i="3"/>
  <c r="H126" i="3"/>
  <c r="I126" i="3"/>
  <c r="J126" i="3"/>
  <c r="K126" i="3"/>
  <c r="K7" i="5" s="1"/>
  <c r="AK7" i="5" s="1"/>
  <c r="L126" i="3"/>
  <c r="N126" i="3"/>
  <c r="O126" i="3"/>
  <c r="P126" i="3"/>
  <c r="Q126" i="3"/>
  <c r="R126" i="3"/>
  <c r="T126" i="3"/>
  <c r="T7" i="5" s="1"/>
  <c r="AT7" i="5" s="1"/>
  <c r="U126" i="3"/>
  <c r="AB126" i="3"/>
  <c r="AC126" i="3"/>
  <c r="AD126" i="3"/>
  <c r="AF126" i="3"/>
  <c r="AG126" i="3"/>
  <c r="AJ126" i="3"/>
  <c r="AK126" i="3"/>
  <c r="AM126" i="3"/>
  <c r="AN126" i="3"/>
  <c r="AP126" i="3"/>
  <c r="AQ126" i="3"/>
  <c r="A127" i="3"/>
  <c r="AA127" i="3"/>
  <c r="A128" i="3"/>
  <c r="AA128" i="3" s="1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T128" i="3"/>
  <c r="AF128" i="3" s="1"/>
  <c r="U128" i="3"/>
  <c r="V128" i="3"/>
  <c r="AB128" i="3"/>
  <c r="AG128" i="3"/>
  <c r="AH128" i="3"/>
  <c r="AM128" i="3"/>
  <c r="AN128" i="3"/>
  <c r="AP128" i="3"/>
  <c r="AA129" i="3"/>
  <c r="A130" i="3"/>
  <c r="AA130" i="3" s="1"/>
  <c r="I130" i="3"/>
  <c r="J130" i="3"/>
  <c r="K130" i="3"/>
  <c r="AK12" i="5" s="1"/>
  <c r="T130" i="3"/>
  <c r="U130" i="3"/>
  <c r="V130" i="3"/>
  <c r="AF130" i="3"/>
  <c r="AG130" i="3"/>
  <c r="AM130" i="3"/>
  <c r="AP130" i="3"/>
  <c r="AP134" i="3" s="1"/>
  <c r="AP143" i="3" s="1"/>
  <c r="T131" i="3"/>
  <c r="AF131" i="3" s="1"/>
  <c r="U131" i="3"/>
  <c r="V131" i="3"/>
  <c r="AA131" i="3"/>
  <c r="AG131" i="3"/>
  <c r="AH131" i="3"/>
  <c r="AM131" i="3"/>
  <c r="AP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T132" i="3"/>
  <c r="AF132" i="3" s="1"/>
  <c r="AH132" i="3" s="1"/>
  <c r="U132" i="3"/>
  <c r="V132" i="3"/>
  <c r="AA132" i="3"/>
  <c r="AG132" i="3"/>
  <c r="AM132" i="3"/>
  <c r="AP132" i="3"/>
  <c r="A134" i="3"/>
  <c r="AA134" i="3" s="1"/>
  <c r="T134" i="3"/>
  <c r="U134" i="3"/>
  <c r="V134" i="3"/>
  <c r="AM134" i="3"/>
  <c r="A136" i="3"/>
  <c r="AA136" i="3" s="1"/>
  <c r="T136" i="3"/>
  <c r="AF136" i="3" s="1"/>
  <c r="U136" i="3"/>
  <c r="V136" i="3"/>
  <c r="AG136" i="3"/>
  <c r="AH136" i="3"/>
  <c r="AM136" i="3"/>
  <c r="AP136" i="3"/>
  <c r="A137" i="3"/>
  <c r="AA137" i="3" s="1"/>
  <c r="T137" i="3"/>
  <c r="AF137" i="3" s="1"/>
  <c r="AH137" i="3" s="1"/>
  <c r="U137" i="3"/>
  <c r="V137" i="3"/>
  <c r="AG137" i="3"/>
  <c r="AM137" i="3"/>
  <c r="AP137" i="3"/>
  <c r="A138" i="3"/>
  <c r="AA138" i="3" s="1"/>
  <c r="T138" i="3"/>
  <c r="AF138" i="3" s="1"/>
  <c r="AH138" i="3" s="1"/>
  <c r="U138" i="3"/>
  <c r="V138" i="3"/>
  <c r="AG138" i="3"/>
  <c r="AM138" i="3"/>
  <c r="AP138" i="3"/>
  <c r="A139" i="3"/>
  <c r="AA139" i="3" s="1"/>
  <c r="D139" i="3"/>
  <c r="AD21" i="5" s="1"/>
  <c r="E139" i="3"/>
  <c r="F139" i="3"/>
  <c r="G139" i="3"/>
  <c r="H139" i="3"/>
  <c r="I139" i="3"/>
  <c r="J139" i="3"/>
  <c r="K139" i="3"/>
  <c r="L139" i="3"/>
  <c r="M139" i="3"/>
  <c r="N139" i="3"/>
  <c r="O139" i="3"/>
  <c r="T139" i="3"/>
  <c r="AF139" i="3" s="1"/>
  <c r="U139" i="3"/>
  <c r="V139" i="3"/>
  <c r="AG139" i="3"/>
  <c r="AH139" i="3"/>
  <c r="AM139" i="3"/>
  <c r="AP139" i="3"/>
  <c r="A140" i="3"/>
  <c r="AA140" i="3" s="1"/>
  <c r="D140" i="3"/>
  <c r="E140" i="3"/>
  <c r="AE22" i="5" s="1"/>
  <c r="F140" i="3"/>
  <c r="G140" i="3"/>
  <c r="I140" i="3"/>
  <c r="J140" i="3"/>
  <c r="K140" i="3"/>
  <c r="L140" i="3"/>
  <c r="M140" i="3"/>
  <c r="N140" i="3"/>
  <c r="O140" i="3"/>
  <c r="T140" i="3"/>
  <c r="AF140" i="3" s="1"/>
  <c r="U140" i="3"/>
  <c r="V140" i="3"/>
  <c r="AM140" i="3"/>
  <c r="AP140" i="3"/>
  <c r="A141" i="3"/>
  <c r="T141" i="3"/>
  <c r="AF141" i="3" s="1"/>
  <c r="AH141" i="3" s="1"/>
  <c r="U141" i="3"/>
  <c r="U245" i="3" s="1"/>
  <c r="V141" i="3"/>
  <c r="V245" i="3" s="1"/>
  <c r="AG141" i="3"/>
  <c r="AM141" i="3"/>
  <c r="AP141" i="3"/>
  <c r="AA143" i="3"/>
  <c r="AM143" i="3"/>
  <c r="A145" i="3"/>
  <c r="AA145" i="3"/>
  <c r="T146" i="3"/>
  <c r="AF146" i="3" s="1"/>
  <c r="U146" i="3"/>
  <c r="V146" i="3"/>
  <c r="AA146" i="3"/>
  <c r="AG146" i="3"/>
  <c r="AH146" i="3"/>
  <c r="AM146" i="3"/>
  <c r="AP146" i="3"/>
  <c r="T147" i="3"/>
  <c r="U147" i="3"/>
  <c r="AA147" i="3"/>
  <c r="AF147" i="3"/>
  <c r="AG147" i="3"/>
  <c r="AH147" i="3"/>
  <c r="AM147" i="3"/>
  <c r="AP147" i="3"/>
  <c r="A148" i="3"/>
  <c r="D148" i="3"/>
  <c r="E148" i="3"/>
  <c r="AE30" i="5" s="1"/>
  <c r="AQ30" i="5" s="1"/>
  <c r="F148" i="3"/>
  <c r="G148" i="3"/>
  <c r="H148" i="3"/>
  <c r="I148" i="3"/>
  <c r="J148" i="3"/>
  <c r="K148" i="3"/>
  <c r="L148" i="3"/>
  <c r="M148" i="3"/>
  <c r="AM30" i="5" s="1"/>
  <c r="N148" i="3"/>
  <c r="O148" i="3"/>
  <c r="P148" i="3"/>
  <c r="Q148" i="3"/>
  <c r="T148" i="3"/>
  <c r="U148" i="3"/>
  <c r="V148" i="3"/>
  <c r="AA148" i="3"/>
  <c r="AB148" i="3"/>
  <c r="AN148" i="3" s="1"/>
  <c r="AC148" i="3"/>
  <c r="AQ148" i="3" s="1"/>
  <c r="AF148" i="3"/>
  <c r="AG148" i="3"/>
  <c r="AH148" i="3"/>
  <c r="AJ148" i="3"/>
  <c r="AK148" i="3"/>
  <c r="AM148" i="3"/>
  <c r="AP148" i="3"/>
  <c r="A149" i="3"/>
  <c r="D149" i="3"/>
  <c r="E149" i="3"/>
  <c r="T149" i="3"/>
  <c r="U149" i="3"/>
  <c r="U155" i="3" s="1"/>
  <c r="V149" i="3"/>
  <c r="AA149" i="3"/>
  <c r="AF149" i="3"/>
  <c r="AG149" i="3"/>
  <c r="AH149" i="3"/>
  <c r="AM149" i="3"/>
  <c r="AP149" i="3"/>
  <c r="P150" i="3"/>
  <c r="Q150" i="3"/>
  <c r="R150" i="3" s="1"/>
  <c r="V150" i="3"/>
  <c r="AA150" i="3"/>
  <c r="AB150" i="3"/>
  <c r="AD150" i="3" s="1"/>
  <c r="AC150" i="3"/>
  <c r="AF150" i="3"/>
  <c r="AH150" i="3"/>
  <c r="AJ150" i="3"/>
  <c r="AK150" i="3"/>
  <c r="AN150" i="3"/>
  <c r="AQ150" i="3"/>
  <c r="A151" i="3"/>
  <c r="T151" i="3"/>
  <c r="U151" i="3"/>
  <c r="AA151" i="3"/>
  <c r="AF151" i="3"/>
  <c r="AH151" i="3" s="1"/>
  <c r="AG151" i="3"/>
  <c r="AM151" i="3"/>
  <c r="AP151" i="3"/>
  <c r="P152" i="3"/>
  <c r="R152" i="3" s="1"/>
  <c r="Q152" i="3"/>
  <c r="V152" i="3"/>
  <c r="AA152" i="3"/>
  <c r="AB152" i="3"/>
  <c r="AD152" i="3" s="1"/>
  <c r="AC152" i="3"/>
  <c r="AJ152" i="3" s="1"/>
  <c r="AF152" i="3"/>
  <c r="AH152" i="3" s="1"/>
  <c r="AK152" i="3"/>
  <c r="AN152" i="3"/>
  <c r="AQ152" i="3"/>
  <c r="T153" i="3"/>
  <c r="AF153" i="3" s="1"/>
  <c r="U153" i="3"/>
  <c r="V153" i="3"/>
  <c r="AA153" i="3"/>
  <c r="AG153" i="3"/>
  <c r="AM153" i="3"/>
  <c r="AP153" i="3"/>
  <c r="T155" i="3"/>
  <c r="AA155" i="3"/>
  <c r="AA157" i="3"/>
  <c r="A159" i="3"/>
  <c r="AA159" i="3" s="1"/>
  <c r="A160" i="3"/>
  <c r="AA160" i="3" s="1"/>
  <c r="T160" i="3"/>
  <c r="U160" i="3"/>
  <c r="V160" i="3"/>
  <c r="AF160" i="3"/>
  <c r="AG160" i="3"/>
  <c r="AM160" i="3"/>
  <c r="AP160" i="3"/>
  <c r="AP166" i="3" s="1"/>
  <c r="A161" i="3"/>
  <c r="AA161" i="3" s="1"/>
  <c r="T161" i="3"/>
  <c r="AF161" i="3" s="1"/>
  <c r="U161" i="3"/>
  <c r="V161" i="3"/>
  <c r="AG161" i="3"/>
  <c r="AM161" i="3"/>
  <c r="AP161" i="3"/>
  <c r="A162" i="3"/>
  <c r="AA162" i="3" s="1"/>
  <c r="T162" i="3"/>
  <c r="AF162" i="3" s="1"/>
  <c r="AH162" i="3" s="1"/>
  <c r="U162" i="3"/>
  <c r="V162" i="3"/>
  <c r="AG162" i="3"/>
  <c r="AM162" i="3"/>
  <c r="AP162" i="3"/>
  <c r="A163" i="3"/>
  <c r="AA163" i="3" s="1"/>
  <c r="T163" i="3"/>
  <c r="AF163" i="3" s="1"/>
  <c r="AH163" i="3" s="1"/>
  <c r="U163" i="3"/>
  <c r="V163" i="3"/>
  <c r="AG163" i="3"/>
  <c r="AM163" i="3"/>
  <c r="AP163" i="3"/>
  <c r="A164" i="3"/>
  <c r="T164" i="3"/>
  <c r="AF164" i="3" s="1"/>
  <c r="AH164" i="3" s="1"/>
  <c r="U164" i="3"/>
  <c r="V164" i="3"/>
  <c r="AG164" i="3"/>
  <c r="AM164" i="3"/>
  <c r="AP164" i="3"/>
  <c r="A166" i="3"/>
  <c r="U166" i="3"/>
  <c r="V166" i="3"/>
  <c r="AM166" i="3"/>
  <c r="AA168" i="3"/>
  <c r="A170" i="3"/>
  <c r="AA170" i="3" s="1"/>
  <c r="A171" i="3"/>
  <c r="AA171" i="3" s="1"/>
  <c r="D171" i="3"/>
  <c r="E171" i="3"/>
  <c r="F171" i="3"/>
  <c r="G171" i="3"/>
  <c r="H171" i="3"/>
  <c r="AH53" i="5" s="1"/>
  <c r="I171" i="3"/>
  <c r="J171" i="3"/>
  <c r="K171" i="3"/>
  <c r="L171" i="3"/>
  <c r="M171" i="3"/>
  <c r="N171" i="3"/>
  <c r="O171" i="3"/>
  <c r="P171" i="3"/>
  <c r="T171" i="3"/>
  <c r="U171" i="3"/>
  <c r="V171" i="3"/>
  <c r="AF171" i="3"/>
  <c r="AG171" i="3"/>
  <c r="AM171" i="3"/>
  <c r="AP171" i="3"/>
  <c r="A172" i="3"/>
  <c r="AA172" i="3" s="1"/>
  <c r="H172" i="3"/>
  <c r="AH54" i="5" s="1"/>
  <c r="T172" i="3"/>
  <c r="AF172" i="3" s="1"/>
  <c r="U172" i="3"/>
  <c r="V172" i="3"/>
  <c r="AG172" i="3"/>
  <c r="AH172" i="3"/>
  <c r="AM172" i="3"/>
  <c r="AP172" i="3"/>
  <c r="A173" i="3"/>
  <c r="AA173" i="3" s="1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AB173" i="3" s="1"/>
  <c r="AN173" i="3" s="1"/>
  <c r="Q173" i="3"/>
  <c r="R173" i="3"/>
  <c r="T173" i="3"/>
  <c r="U173" i="3"/>
  <c r="V173" i="3"/>
  <c r="AC173" i="3"/>
  <c r="AJ173" i="3" s="1"/>
  <c r="AD173" i="3"/>
  <c r="AF173" i="3"/>
  <c r="AH173" i="3" s="1"/>
  <c r="AG173" i="3"/>
  <c r="AM173" i="3"/>
  <c r="AP173" i="3"/>
  <c r="AP176" i="3" s="1"/>
  <c r="A174" i="3"/>
  <c r="L174" i="3"/>
  <c r="T174" i="3"/>
  <c r="U174" i="3"/>
  <c r="V174" i="3"/>
  <c r="AF174" i="3"/>
  <c r="AH174" i="3" s="1"/>
  <c r="AG174" i="3"/>
  <c r="AM174" i="3"/>
  <c r="AP174" i="3"/>
  <c r="A176" i="3"/>
  <c r="AA176" i="3" s="1"/>
  <c r="U176" i="3"/>
  <c r="V176" i="3"/>
  <c r="AG176" i="3"/>
  <c r="AM176" i="3"/>
  <c r="A178" i="3"/>
  <c r="AA178" i="3" s="1"/>
  <c r="A180" i="3"/>
  <c r="AA180" i="3" s="1"/>
  <c r="D180" i="3"/>
  <c r="T180" i="3"/>
  <c r="U180" i="3"/>
  <c r="V180" i="3"/>
  <c r="AM180" i="3"/>
  <c r="AP180" i="3"/>
  <c r="A182" i="3"/>
  <c r="A184" i="3"/>
  <c r="AA184" i="3" s="1"/>
  <c r="A187" i="3"/>
  <c r="I187" i="3"/>
  <c r="V187" i="3"/>
  <c r="AA187" i="3"/>
  <c r="AD187" i="3"/>
  <c r="AQ187" i="3"/>
  <c r="V188" i="3"/>
  <c r="AD188" i="3"/>
  <c r="AQ188" i="3"/>
  <c r="I189" i="3"/>
  <c r="AD189" i="3"/>
  <c r="I190" i="3"/>
  <c r="AD190" i="3"/>
  <c r="T191" i="3"/>
  <c r="V191" i="3"/>
  <c r="AF191" i="3"/>
  <c r="AK191" i="3"/>
  <c r="D192" i="3"/>
  <c r="E192" i="3"/>
  <c r="F192" i="3"/>
  <c r="H192" i="3"/>
  <c r="I192" i="3"/>
  <c r="J192" i="3"/>
  <c r="K192" i="3"/>
  <c r="L192" i="3"/>
  <c r="M192" i="3"/>
  <c r="N192" i="3"/>
  <c r="P192" i="3"/>
  <c r="Q192" i="3"/>
  <c r="R192" i="3"/>
  <c r="T192" i="3"/>
  <c r="U192" i="3"/>
  <c r="V192" i="3"/>
  <c r="AC192" i="3"/>
  <c r="AF192" i="3"/>
  <c r="AG192" i="3"/>
  <c r="AH192" i="3"/>
  <c r="AJ192" i="3"/>
  <c r="AM192" i="3"/>
  <c r="AP192" i="3"/>
  <c r="D193" i="3"/>
  <c r="F193" i="3"/>
  <c r="G193" i="3"/>
  <c r="H193" i="3"/>
  <c r="I193" i="3"/>
  <c r="J193" i="3"/>
  <c r="K193" i="3"/>
  <c r="L193" i="3"/>
  <c r="N193" i="3"/>
  <c r="O193" i="3"/>
  <c r="P193" i="3"/>
  <c r="Q193" i="3"/>
  <c r="R193" i="3"/>
  <c r="T193" i="3"/>
  <c r="U193" i="3"/>
  <c r="AB193" i="3"/>
  <c r="AC193" i="3"/>
  <c r="AD193" i="3"/>
  <c r="AF193" i="3"/>
  <c r="AG193" i="3"/>
  <c r="AJ193" i="3"/>
  <c r="AK193" i="3"/>
  <c r="AM193" i="3"/>
  <c r="AN193" i="3"/>
  <c r="AP193" i="3"/>
  <c r="AQ193" i="3"/>
  <c r="AA194" i="3"/>
  <c r="V195" i="3"/>
  <c r="AA195" i="3"/>
  <c r="AF195" i="3"/>
  <c r="AG195" i="3"/>
  <c r="AG198" i="3" s="1"/>
  <c r="D196" i="3"/>
  <c r="V196" i="3"/>
  <c r="AA196" i="3"/>
  <c r="AF196" i="3"/>
  <c r="AH196" i="3" s="1"/>
  <c r="AG196" i="3"/>
  <c r="T198" i="3"/>
  <c r="U198" i="3"/>
  <c r="V198" i="3"/>
  <c r="AA198" i="3"/>
  <c r="AM198" i="3"/>
  <c r="AP198" i="3"/>
  <c r="AA200" i="3"/>
  <c r="V201" i="3"/>
  <c r="AA201" i="3"/>
  <c r="AF201" i="3"/>
  <c r="AG201" i="3"/>
  <c r="AH201" i="3"/>
  <c r="P203" i="3"/>
  <c r="R203" i="3" s="1"/>
  <c r="Q203" i="3"/>
  <c r="V203" i="3"/>
  <c r="AA203" i="3"/>
  <c r="AB203" i="3"/>
  <c r="AD203" i="3" s="1"/>
  <c r="AC203" i="3"/>
  <c r="AJ203" i="3" s="1"/>
  <c r="AF203" i="3"/>
  <c r="AH203" i="3" s="1"/>
  <c r="AG203" i="3"/>
  <c r="AQ203" i="3"/>
  <c r="J205" i="3"/>
  <c r="K205" i="3"/>
  <c r="V205" i="3"/>
  <c r="AA205" i="3"/>
  <c r="AF205" i="3"/>
  <c r="AH205" i="3" s="1"/>
  <c r="AG205" i="3"/>
  <c r="J207" i="3"/>
  <c r="K207" i="3"/>
  <c r="V207" i="3"/>
  <c r="AA207" i="3"/>
  <c r="AF207" i="3"/>
  <c r="AH207" i="3" s="1"/>
  <c r="AG207" i="3"/>
  <c r="AA209" i="3"/>
  <c r="H210" i="3"/>
  <c r="I210" i="3"/>
  <c r="J210" i="3"/>
  <c r="L210" i="3"/>
  <c r="V210" i="3"/>
  <c r="AA210" i="3"/>
  <c r="AF210" i="3"/>
  <c r="AG210" i="3"/>
  <c r="AH210" i="3"/>
  <c r="P211" i="3"/>
  <c r="R211" i="3" s="1"/>
  <c r="Q211" i="3"/>
  <c r="V211" i="3"/>
  <c r="AA211" i="3"/>
  <c r="AB211" i="3"/>
  <c r="AD211" i="3" s="1"/>
  <c r="AC211" i="3"/>
  <c r="AF211" i="3"/>
  <c r="AH211" i="3" s="1"/>
  <c r="AG211" i="3"/>
  <c r="AJ211" i="3" s="1"/>
  <c r="AK211" i="3"/>
  <c r="AN211" i="3"/>
  <c r="AQ211" i="3"/>
  <c r="I212" i="3"/>
  <c r="J212" i="3"/>
  <c r="L212" i="3"/>
  <c r="V212" i="3"/>
  <c r="AA212" i="3"/>
  <c r="AF212" i="3"/>
  <c r="AG212" i="3"/>
  <c r="AH212" i="3"/>
  <c r="AA214" i="3"/>
  <c r="F215" i="3"/>
  <c r="G215" i="3"/>
  <c r="H215" i="3"/>
  <c r="N215" i="3"/>
  <c r="O215" i="3"/>
  <c r="V215" i="3"/>
  <c r="AA215" i="3"/>
  <c r="AF215" i="3"/>
  <c r="AH215" i="3" s="1"/>
  <c r="AG215" i="3"/>
  <c r="M216" i="3"/>
  <c r="V216" i="3"/>
  <c r="AA216" i="3"/>
  <c r="AF216" i="3"/>
  <c r="AH216" i="3" s="1"/>
  <c r="AG216" i="3"/>
  <c r="P218" i="3"/>
  <c r="R218" i="3" s="1"/>
  <c r="Q218" i="3"/>
  <c r="V218" i="3"/>
  <c r="AA218" i="3"/>
  <c r="AB218" i="3"/>
  <c r="AC218" i="3"/>
  <c r="AJ218" i="3" s="1"/>
  <c r="AF218" i="3"/>
  <c r="AH218" i="3" s="1"/>
  <c r="AG218" i="3"/>
  <c r="T220" i="3"/>
  <c r="U220" i="3"/>
  <c r="AA220" i="3"/>
  <c r="AF220" i="3"/>
  <c r="AG220" i="3"/>
  <c r="AM220" i="3"/>
  <c r="AP220" i="3"/>
  <c r="AA222" i="3"/>
  <c r="V223" i="3"/>
  <c r="AA223" i="3"/>
  <c r="AF223" i="3"/>
  <c r="AG223" i="3"/>
  <c r="AH223" i="3" s="1"/>
  <c r="F224" i="3"/>
  <c r="G224" i="3"/>
  <c r="H224" i="3"/>
  <c r="N224" i="3"/>
  <c r="O224" i="3"/>
  <c r="V224" i="3"/>
  <c r="AA224" i="3"/>
  <c r="AF224" i="3"/>
  <c r="AH224" i="3" s="1"/>
  <c r="AG224" i="3"/>
  <c r="F225" i="3"/>
  <c r="Q225" i="3" s="1"/>
  <c r="V225" i="3"/>
  <c r="AA225" i="3"/>
  <c r="AC225" i="3"/>
  <c r="AJ225" i="3" s="1"/>
  <c r="AF225" i="3"/>
  <c r="AH225" i="3" s="1"/>
  <c r="AG225" i="3"/>
  <c r="P226" i="3"/>
  <c r="Q226" i="3"/>
  <c r="V226" i="3"/>
  <c r="AA226" i="3"/>
  <c r="AC226" i="3"/>
  <c r="AF226" i="3"/>
  <c r="AH226" i="3" s="1"/>
  <c r="AG226" i="3"/>
  <c r="AJ226" i="3" s="1"/>
  <c r="AQ226" i="3"/>
  <c r="P227" i="3"/>
  <c r="AB227" i="3" s="1"/>
  <c r="Q227" i="3"/>
  <c r="R227" i="3"/>
  <c r="V227" i="3"/>
  <c r="AA227" i="3"/>
  <c r="AC227" i="3"/>
  <c r="AF227" i="3"/>
  <c r="AG227" i="3"/>
  <c r="AJ227" i="3" s="1"/>
  <c r="AH227" i="3"/>
  <c r="AQ227" i="3"/>
  <c r="P228" i="3"/>
  <c r="Q228" i="3"/>
  <c r="R228" i="3" s="1"/>
  <c r="V228" i="3"/>
  <c r="AA228" i="3"/>
  <c r="AB228" i="3"/>
  <c r="AK228" i="3" s="1"/>
  <c r="AC228" i="3"/>
  <c r="AF228" i="3"/>
  <c r="AG228" i="3"/>
  <c r="AJ228" i="3" s="1"/>
  <c r="AH228" i="3"/>
  <c r="AN228" i="3"/>
  <c r="AQ228" i="3"/>
  <c r="P229" i="3"/>
  <c r="Q229" i="3"/>
  <c r="R229" i="3"/>
  <c r="V229" i="3"/>
  <c r="AA229" i="3"/>
  <c r="AB229" i="3"/>
  <c r="AD229" i="3" s="1"/>
  <c r="AC229" i="3"/>
  <c r="AF229" i="3"/>
  <c r="AG229" i="3"/>
  <c r="AH229" i="3"/>
  <c r="AJ229" i="3"/>
  <c r="AK229" i="3"/>
  <c r="AN229" i="3"/>
  <c r="AQ229" i="3"/>
  <c r="P230" i="3"/>
  <c r="R230" i="3" s="1"/>
  <c r="Q230" i="3"/>
  <c r="V230" i="3"/>
  <c r="AA230" i="3"/>
  <c r="AB230" i="3"/>
  <c r="AD230" i="3" s="1"/>
  <c r="AC230" i="3"/>
  <c r="AF230" i="3"/>
  <c r="AH230" i="3" s="1"/>
  <c r="AG230" i="3"/>
  <c r="AJ230" i="3"/>
  <c r="AQ230" i="3"/>
  <c r="P231" i="3"/>
  <c r="R231" i="3" s="1"/>
  <c r="Q231" i="3"/>
  <c r="V231" i="3"/>
  <c r="AA231" i="3"/>
  <c r="AB231" i="3"/>
  <c r="AD231" i="3" s="1"/>
  <c r="AC231" i="3"/>
  <c r="AJ231" i="3" s="1"/>
  <c r="AF231" i="3"/>
  <c r="AH231" i="3" s="1"/>
  <c r="AG231" i="3"/>
  <c r="AK231" i="3"/>
  <c r="AN231" i="3"/>
  <c r="AQ231" i="3"/>
  <c r="P232" i="3"/>
  <c r="R232" i="3" s="1"/>
  <c r="Q232" i="3"/>
  <c r="V232" i="3"/>
  <c r="AA232" i="3"/>
  <c r="AB232" i="3"/>
  <c r="AK232" i="3" s="1"/>
  <c r="AC232" i="3"/>
  <c r="AJ232" i="3" s="1"/>
  <c r="AD232" i="3"/>
  <c r="AF232" i="3"/>
  <c r="AH232" i="3" s="1"/>
  <c r="AG232" i="3"/>
  <c r="D233" i="3"/>
  <c r="L233" i="3"/>
  <c r="V233" i="3"/>
  <c r="AA233" i="3"/>
  <c r="AF233" i="3"/>
  <c r="AG233" i="3"/>
  <c r="AH233" i="3"/>
  <c r="P234" i="3"/>
  <c r="R234" i="3" s="1"/>
  <c r="Q234" i="3"/>
  <c r="V234" i="3"/>
  <c r="AA234" i="3"/>
  <c r="AB234" i="3"/>
  <c r="AD234" i="3" s="1"/>
  <c r="AC234" i="3"/>
  <c r="AF234" i="3"/>
  <c r="AH234" i="3" s="1"/>
  <c r="AG234" i="3"/>
  <c r="AJ234" i="3"/>
  <c r="AK234" i="3"/>
  <c r="AN234" i="3"/>
  <c r="AQ234" i="3"/>
  <c r="I235" i="3"/>
  <c r="J235" i="3"/>
  <c r="V235" i="3"/>
  <c r="AA235" i="3"/>
  <c r="AF235" i="3"/>
  <c r="AG235" i="3"/>
  <c r="AH235" i="3"/>
  <c r="P236" i="3"/>
  <c r="Q236" i="3"/>
  <c r="R236" i="3" s="1"/>
  <c r="V236" i="3"/>
  <c r="AA236" i="3"/>
  <c r="AB236" i="3"/>
  <c r="AK236" i="3" s="1"/>
  <c r="AC236" i="3"/>
  <c r="AF236" i="3"/>
  <c r="AG236" i="3"/>
  <c r="AJ236" i="3" s="1"/>
  <c r="AH236" i="3"/>
  <c r="AN236" i="3"/>
  <c r="AQ236" i="3"/>
  <c r="AA237" i="3"/>
  <c r="AM237" i="3"/>
  <c r="AA239" i="3"/>
  <c r="AM239" i="3"/>
  <c r="T241" i="3"/>
  <c r="U241" i="3"/>
  <c r="U239" i="3" s="1"/>
  <c r="U237" i="3" s="1"/>
  <c r="AG237" i="3" s="1"/>
  <c r="V241" i="3"/>
  <c r="AA241" i="3"/>
  <c r="AF241" i="3"/>
  <c r="AF239" i="3" s="1"/>
  <c r="AG241" i="3"/>
  <c r="AM241" i="3"/>
  <c r="AP241" i="3"/>
  <c r="AP239" i="3" s="1"/>
  <c r="AP237" i="3" s="1"/>
  <c r="T243" i="3"/>
  <c r="U243" i="3"/>
  <c r="V243" i="3"/>
  <c r="AA243" i="3"/>
  <c r="AF243" i="3"/>
  <c r="AG243" i="3"/>
  <c r="AM243" i="3"/>
  <c r="A245" i="3"/>
  <c r="AA245" i="3" s="1"/>
  <c r="AG245" i="3"/>
  <c r="AM245" i="3"/>
  <c r="A248" i="3"/>
  <c r="I248" i="3"/>
  <c r="U248" i="3"/>
  <c r="I249" i="3"/>
  <c r="U249" i="3"/>
  <c r="I250" i="3"/>
  <c r="I251" i="3"/>
  <c r="D254" i="3"/>
  <c r="E254" i="3"/>
  <c r="F254" i="3"/>
  <c r="H254" i="3"/>
  <c r="I254" i="3"/>
  <c r="J254" i="3"/>
  <c r="K254" i="3"/>
  <c r="L254" i="3"/>
  <c r="M254" i="3"/>
  <c r="N254" i="3"/>
  <c r="P254" i="3"/>
  <c r="Q254" i="3"/>
  <c r="R254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A257" i="3"/>
  <c r="D257" i="3"/>
  <c r="A258" i="3"/>
  <c r="A260" i="3"/>
  <c r="D260" i="3"/>
  <c r="E260" i="3"/>
  <c r="A261" i="3"/>
  <c r="D261" i="3"/>
  <c r="A263" i="3"/>
  <c r="D263" i="3"/>
  <c r="E263" i="3"/>
  <c r="F263" i="3"/>
  <c r="A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A265" i="3"/>
  <c r="D265" i="3"/>
  <c r="E265" i="3"/>
  <c r="F265" i="3"/>
  <c r="F41" i="3" s="1"/>
  <c r="F162" i="3" s="1"/>
  <c r="AF44" i="5" s="1"/>
  <c r="G265" i="3"/>
  <c r="G41" i="3" s="1"/>
  <c r="G162" i="3" s="1"/>
  <c r="AG44" i="5" s="1"/>
  <c r="H265" i="3"/>
  <c r="I265" i="3"/>
  <c r="J265" i="3"/>
  <c r="K265" i="3"/>
  <c r="L265" i="3"/>
  <c r="M265" i="3"/>
  <c r="M41" i="3" s="1"/>
  <c r="M162" i="3" s="1"/>
  <c r="AM44" i="5" s="1"/>
  <c r="N265" i="3"/>
  <c r="N41" i="3" s="1"/>
  <c r="N162" i="3" s="1"/>
  <c r="AN44" i="5" s="1"/>
  <c r="O265" i="3"/>
  <c r="O41" i="3" s="1"/>
  <c r="O162" i="3" s="1"/>
  <c r="AO44" i="5" s="1"/>
  <c r="A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A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A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A269" i="3"/>
  <c r="D269" i="3"/>
  <c r="E269" i="3"/>
  <c r="F269" i="3"/>
  <c r="G269" i="3"/>
  <c r="H269" i="3"/>
  <c r="I269" i="3"/>
  <c r="J269" i="3"/>
  <c r="K269" i="3"/>
  <c r="L269" i="3"/>
  <c r="L39" i="3" s="1"/>
  <c r="M269" i="3"/>
  <c r="N269" i="3"/>
  <c r="O269" i="3"/>
  <c r="A270" i="3"/>
  <c r="D270" i="3"/>
  <c r="E270" i="3"/>
  <c r="E39" i="3" s="1"/>
  <c r="F270" i="3"/>
  <c r="G270" i="3"/>
  <c r="H270" i="3"/>
  <c r="I270" i="3"/>
  <c r="J270" i="3"/>
  <c r="K270" i="3"/>
  <c r="L270" i="3"/>
  <c r="M270" i="3"/>
  <c r="N270" i="3"/>
  <c r="O270" i="3"/>
  <c r="A271" i="3"/>
  <c r="D271" i="3"/>
  <c r="D210" i="3" s="1"/>
  <c r="E271" i="3"/>
  <c r="F271" i="3"/>
  <c r="F210" i="3" s="1"/>
  <c r="G271" i="3"/>
  <c r="G210" i="3" s="1"/>
  <c r="H271" i="3"/>
  <c r="I271" i="3"/>
  <c r="J271" i="3"/>
  <c r="K271" i="3"/>
  <c r="K210" i="3" s="1"/>
  <c r="L271" i="3"/>
  <c r="M271" i="3"/>
  <c r="M210" i="3" s="1"/>
  <c r="N271" i="3"/>
  <c r="N210" i="3" s="1"/>
  <c r="O271" i="3"/>
  <c r="O210" i="3" s="1"/>
  <c r="A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A273" i="3"/>
  <c r="D273" i="3"/>
  <c r="D212" i="3" s="1"/>
  <c r="E273" i="3"/>
  <c r="F273" i="3"/>
  <c r="F212" i="3" s="1"/>
  <c r="G273" i="3"/>
  <c r="G212" i="3" s="1"/>
  <c r="H273" i="3"/>
  <c r="H212" i="3" s="1"/>
  <c r="I273" i="3"/>
  <c r="J273" i="3"/>
  <c r="K273" i="3"/>
  <c r="K212" i="3" s="1"/>
  <c r="L273" i="3"/>
  <c r="M273" i="3"/>
  <c r="M212" i="3" s="1"/>
  <c r="N273" i="3"/>
  <c r="N212" i="3" s="1"/>
  <c r="O273" i="3"/>
  <c r="O212" i="3" s="1"/>
  <c r="A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A276" i="3"/>
  <c r="D276" i="3"/>
  <c r="E276" i="3"/>
  <c r="F276" i="3"/>
  <c r="A278" i="3"/>
  <c r="D278" i="3"/>
  <c r="A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A280" i="3"/>
  <c r="D280" i="3"/>
  <c r="E280" i="3"/>
  <c r="F280" i="3"/>
  <c r="F11" i="3" s="1"/>
  <c r="G280" i="3"/>
  <c r="G11" i="3" s="1"/>
  <c r="H280" i="3"/>
  <c r="H11" i="3" s="1"/>
  <c r="I280" i="3"/>
  <c r="I11" i="3" s="1"/>
  <c r="J280" i="3"/>
  <c r="J11" i="3" s="1"/>
  <c r="K280" i="3"/>
  <c r="K11" i="3" s="1"/>
  <c r="L280" i="3"/>
  <c r="L11" i="3" s="1"/>
  <c r="L130" i="3" s="1"/>
  <c r="M280" i="3"/>
  <c r="N280" i="3"/>
  <c r="N11" i="3" s="1"/>
  <c r="O280" i="3"/>
  <c r="O11" i="3" s="1"/>
  <c r="A281" i="3"/>
  <c r="D281" i="3"/>
  <c r="E281" i="3"/>
  <c r="E43" i="3" s="1"/>
  <c r="E164" i="3" s="1"/>
  <c r="AE46" i="5" s="1"/>
  <c r="F281" i="3"/>
  <c r="G281" i="3"/>
  <c r="H281" i="3"/>
  <c r="I281" i="3"/>
  <c r="J281" i="3"/>
  <c r="K281" i="3"/>
  <c r="K43" i="3" s="1"/>
  <c r="K164" i="3" s="1"/>
  <c r="AK46" i="5" s="1"/>
  <c r="L281" i="3"/>
  <c r="L43" i="3" s="1"/>
  <c r="L164" i="3" s="1"/>
  <c r="AL46" i="5" s="1"/>
  <c r="M281" i="3"/>
  <c r="M43" i="3" s="1"/>
  <c r="M164" i="3" s="1"/>
  <c r="AM46" i="5" s="1"/>
  <c r="N281" i="3"/>
  <c r="O281" i="3"/>
  <c r="A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A283" i="3"/>
  <c r="D283" i="3"/>
  <c r="E283" i="3"/>
  <c r="F283" i="3"/>
  <c r="G283" i="3"/>
  <c r="H283" i="3"/>
  <c r="I283" i="3"/>
  <c r="J283" i="3"/>
  <c r="K283" i="3"/>
  <c r="K40" i="3" s="1"/>
  <c r="L283" i="3"/>
  <c r="M283" i="3"/>
  <c r="N283" i="3"/>
  <c r="O283" i="3"/>
  <c r="A284" i="3"/>
  <c r="E284" i="3"/>
  <c r="E215" i="3" s="1"/>
  <c r="F284" i="3"/>
  <c r="G284" i="3"/>
  <c r="H284" i="3"/>
  <c r="I284" i="3"/>
  <c r="I215" i="3" s="1"/>
  <c r="J284" i="3"/>
  <c r="J215" i="3" s="1"/>
  <c r="K284" i="3"/>
  <c r="K215" i="3" s="1"/>
  <c r="L284" i="3"/>
  <c r="L215" i="3" s="1"/>
  <c r="M284" i="3"/>
  <c r="M215" i="3" s="1"/>
  <c r="N284" i="3"/>
  <c r="O284" i="3"/>
  <c r="A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A286" i="3"/>
  <c r="D286" i="3"/>
  <c r="E286" i="3"/>
  <c r="E216" i="3" s="1"/>
  <c r="F286" i="3"/>
  <c r="F216" i="3" s="1"/>
  <c r="G286" i="3"/>
  <c r="G216" i="3" s="1"/>
  <c r="H286" i="3"/>
  <c r="H216" i="3" s="1"/>
  <c r="I286" i="3"/>
  <c r="I216" i="3" s="1"/>
  <c r="J286" i="3"/>
  <c r="J216" i="3" s="1"/>
  <c r="K286" i="3"/>
  <c r="K216" i="3" s="1"/>
  <c r="L286" i="3"/>
  <c r="L216" i="3" s="1"/>
  <c r="M286" i="3"/>
  <c r="N286" i="3"/>
  <c r="N216" i="3" s="1"/>
  <c r="O286" i="3"/>
  <c r="O216" i="3" s="1"/>
  <c r="A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A289" i="3"/>
  <c r="A291" i="3"/>
  <c r="D291" i="3"/>
  <c r="A292" i="3"/>
  <c r="D292" i="3"/>
  <c r="P292" i="3" s="1"/>
  <c r="E292" i="3"/>
  <c r="F292" i="3"/>
  <c r="G292" i="3"/>
  <c r="H292" i="3"/>
  <c r="I292" i="3"/>
  <c r="I12" i="3" s="1"/>
  <c r="J292" i="3"/>
  <c r="J12" i="3" s="1"/>
  <c r="K292" i="3"/>
  <c r="K12" i="3" s="1"/>
  <c r="K223" i="3" s="1"/>
  <c r="L292" i="3"/>
  <c r="M292" i="3"/>
  <c r="N292" i="3"/>
  <c r="O292" i="3"/>
  <c r="A293" i="3"/>
  <c r="D293" i="3"/>
  <c r="P293" i="3" s="1"/>
  <c r="R293" i="3" s="1"/>
  <c r="E293" i="3"/>
  <c r="F293" i="3"/>
  <c r="G293" i="3"/>
  <c r="H293" i="3"/>
  <c r="I293" i="3"/>
  <c r="J293" i="3"/>
  <c r="K293" i="3"/>
  <c r="L293" i="3"/>
  <c r="M293" i="3"/>
  <c r="N293" i="3"/>
  <c r="O293" i="3"/>
  <c r="Q293" i="3"/>
  <c r="A295" i="3"/>
  <c r="D295" i="3"/>
  <c r="A297" i="3"/>
  <c r="D297" i="3"/>
  <c r="A298" i="3"/>
  <c r="D298" i="3"/>
  <c r="E298" i="3"/>
  <c r="F298" i="3"/>
  <c r="G298" i="3"/>
  <c r="G28" i="3" s="1"/>
  <c r="G136" i="3" s="1"/>
  <c r="H298" i="3"/>
  <c r="H28" i="3" s="1"/>
  <c r="H136" i="3" s="1"/>
  <c r="I298" i="3"/>
  <c r="I28" i="3" s="1"/>
  <c r="I136" i="3" s="1"/>
  <c r="AI18" i="5" s="1"/>
  <c r="J298" i="3"/>
  <c r="K298" i="3"/>
  <c r="L298" i="3"/>
  <c r="L28" i="3" s="1"/>
  <c r="L136" i="3" s="1"/>
  <c r="AL18" i="5" s="1"/>
  <c r="M298" i="3"/>
  <c r="M28" i="3" s="1"/>
  <c r="M136" i="3" s="1"/>
  <c r="AM18" i="5" s="1"/>
  <c r="N298" i="3"/>
  <c r="O298" i="3"/>
  <c r="O28" i="3" s="1"/>
  <c r="O136" i="3" s="1"/>
  <c r="Q298" i="3"/>
  <c r="A299" i="3"/>
  <c r="D299" i="3"/>
  <c r="E299" i="3"/>
  <c r="F299" i="3"/>
  <c r="G299" i="3"/>
  <c r="H299" i="3"/>
  <c r="I299" i="3"/>
  <c r="P299" i="3" s="1"/>
  <c r="R299" i="3" s="1"/>
  <c r="J299" i="3"/>
  <c r="K299" i="3"/>
  <c r="L299" i="3"/>
  <c r="M299" i="3"/>
  <c r="N299" i="3"/>
  <c r="O299" i="3"/>
  <c r="Q299" i="3"/>
  <c r="A301" i="3"/>
  <c r="D301" i="3"/>
  <c r="A304" i="3"/>
  <c r="D304" i="3"/>
  <c r="E304" i="3"/>
  <c r="A305" i="3"/>
  <c r="D305" i="3"/>
  <c r="E305" i="3"/>
  <c r="F305" i="3"/>
  <c r="G305" i="3"/>
  <c r="H305" i="3"/>
  <c r="H205" i="3" s="1"/>
  <c r="I305" i="3"/>
  <c r="I205" i="3" s="1"/>
  <c r="J305" i="3"/>
  <c r="K305" i="3"/>
  <c r="L305" i="3"/>
  <c r="M305" i="3"/>
  <c r="N305" i="3"/>
  <c r="O305" i="3"/>
  <c r="A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A307" i="3"/>
  <c r="D307" i="3"/>
  <c r="E307" i="3"/>
  <c r="F307" i="3"/>
  <c r="G307" i="3"/>
  <c r="H307" i="3"/>
  <c r="I307" i="3"/>
  <c r="J307" i="3"/>
  <c r="K307" i="3"/>
  <c r="L307" i="3"/>
  <c r="M307" i="3"/>
  <c r="M205" i="3" s="1"/>
  <c r="N307" i="3"/>
  <c r="O307" i="3"/>
  <c r="A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A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A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A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A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A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A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A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A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A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A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A320" i="3"/>
  <c r="D320" i="3"/>
  <c r="E320" i="3"/>
  <c r="A323" i="3"/>
  <c r="D323" i="3"/>
  <c r="E323" i="3"/>
  <c r="F323" i="3"/>
  <c r="G323" i="3"/>
  <c r="H323" i="3"/>
  <c r="I323" i="3"/>
  <c r="I330" i="3" s="1"/>
  <c r="I233" i="3" s="1"/>
  <c r="J323" i="3"/>
  <c r="Q323" i="3" s="1"/>
  <c r="K323" i="3"/>
  <c r="L323" i="3"/>
  <c r="M323" i="3"/>
  <c r="N323" i="3"/>
  <c r="O323" i="3"/>
  <c r="A324" i="3"/>
  <c r="D324" i="3"/>
  <c r="E324" i="3"/>
  <c r="F324" i="3"/>
  <c r="G324" i="3"/>
  <c r="H324" i="3"/>
  <c r="I324" i="3"/>
  <c r="P324" i="3" s="1"/>
  <c r="R324" i="3" s="1"/>
  <c r="J324" i="3"/>
  <c r="Q324" i="3" s="1"/>
  <c r="K324" i="3"/>
  <c r="L324" i="3"/>
  <c r="M324" i="3"/>
  <c r="N324" i="3"/>
  <c r="O324" i="3"/>
  <c r="A325" i="3"/>
  <c r="D325" i="3"/>
  <c r="E325" i="3"/>
  <c r="F325" i="3"/>
  <c r="G325" i="3"/>
  <c r="H325" i="3"/>
  <c r="I325" i="3"/>
  <c r="P325" i="3" s="1"/>
  <c r="J325" i="3"/>
  <c r="Q325" i="3" s="1"/>
  <c r="K325" i="3"/>
  <c r="L325" i="3"/>
  <c r="M325" i="3"/>
  <c r="N325" i="3"/>
  <c r="O325" i="3"/>
  <c r="A326" i="3"/>
  <c r="D326" i="3"/>
  <c r="E326" i="3"/>
  <c r="F326" i="3"/>
  <c r="G326" i="3"/>
  <c r="H326" i="3"/>
  <c r="I326" i="3"/>
  <c r="P326" i="3" s="1"/>
  <c r="R326" i="3" s="1"/>
  <c r="J326" i="3"/>
  <c r="Q326" i="3" s="1"/>
  <c r="K326" i="3"/>
  <c r="L326" i="3"/>
  <c r="M326" i="3"/>
  <c r="N326" i="3"/>
  <c r="O326" i="3"/>
  <c r="A327" i="3"/>
  <c r="D327" i="3"/>
  <c r="E327" i="3"/>
  <c r="F327" i="3"/>
  <c r="G327" i="3"/>
  <c r="H327" i="3"/>
  <c r="P327" i="3" s="1"/>
  <c r="R327" i="3" s="1"/>
  <c r="I327" i="3"/>
  <c r="J327" i="3"/>
  <c r="Q327" i="3" s="1"/>
  <c r="K327" i="3"/>
  <c r="L327" i="3"/>
  <c r="M327" i="3"/>
  <c r="N327" i="3"/>
  <c r="O327" i="3"/>
  <c r="A328" i="3"/>
  <c r="D328" i="3"/>
  <c r="E328" i="3"/>
  <c r="F328" i="3"/>
  <c r="G328" i="3"/>
  <c r="H328" i="3"/>
  <c r="P328" i="3" s="1"/>
  <c r="I328" i="3"/>
  <c r="J328" i="3"/>
  <c r="Q328" i="3" s="1"/>
  <c r="K328" i="3"/>
  <c r="L328" i="3"/>
  <c r="M328" i="3"/>
  <c r="N328" i="3"/>
  <c r="O328" i="3"/>
  <c r="D330" i="3"/>
  <c r="E330" i="3"/>
  <c r="E233" i="3" s="1"/>
  <c r="F330" i="3"/>
  <c r="F233" i="3" s="1"/>
  <c r="G330" i="3"/>
  <c r="G233" i="3" s="1"/>
  <c r="K330" i="3"/>
  <c r="K233" i="3" s="1"/>
  <c r="L330" i="3"/>
  <c r="M330" i="3"/>
  <c r="M233" i="3" s="1"/>
  <c r="N330" i="3"/>
  <c r="N233" i="3" s="1"/>
  <c r="O330" i="3"/>
  <c r="O233" i="3" s="1"/>
  <c r="A332" i="3"/>
  <c r="D332" i="3"/>
  <c r="A333" i="3"/>
  <c r="D333" i="3"/>
  <c r="E333" i="3"/>
  <c r="F333" i="3"/>
  <c r="G333" i="3"/>
  <c r="G207" i="3" s="1"/>
  <c r="H333" i="3"/>
  <c r="H207" i="3" s="1"/>
  <c r="I333" i="3"/>
  <c r="J333" i="3"/>
  <c r="K333" i="3"/>
  <c r="L333" i="3"/>
  <c r="M333" i="3"/>
  <c r="N333" i="3"/>
  <c r="O333" i="3"/>
  <c r="O207" i="3" s="1"/>
  <c r="A334" i="3"/>
  <c r="D334" i="3"/>
  <c r="E334" i="3"/>
  <c r="F334" i="3"/>
  <c r="G334" i="3"/>
  <c r="H334" i="3"/>
  <c r="I334" i="3"/>
  <c r="J334" i="3"/>
  <c r="K334" i="3"/>
  <c r="L334" i="3"/>
  <c r="L207" i="3" s="1"/>
  <c r="M334" i="3"/>
  <c r="N334" i="3"/>
  <c r="O334" i="3"/>
  <c r="A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A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A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A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A340" i="3"/>
  <c r="D340" i="3"/>
  <c r="A342" i="3"/>
  <c r="A343" i="3"/>
  <c r="A345" i="3"/>
  <c r="A346" i="3"/>
  <c r="D346" i="3"/>
  <c r="A348" i="3"/>
  <c r="D348" i="3"/>
  <c r="E348" i="3"/>
  <c r="A349" i="3"/>
  <c r="D349" i="3"/>
  <c r="E349" i="3"/>
  <c r="F349" i="3"/>
  <c r="G349" i="3"/>
  <c r="H349" i="3"/>
  <c r="H51" i="3" s="1"/>
  <c r="H97" i="3" s="1"/>
  <c r="I349" i="3"/>
  <c r="I51" i="3" s="1"/>
  <c r="J349" i="3"/>
  <c r="J51" i="3" s="1"/>
  <c r="K349" i="3"/>
  <c r="L349" i="3"/>
  <c r="M349" i="3"/>
  <c r="N349" i="3"/>
  <c r="O349" i="3"/>
  <c r="P349" i="3"/>
  <c r="A350" i="3"/>
  <c r="D350" i="3"/>
  <c r="E350" i="3"/>
  <c r="F350" i="3"/>
  <c r="G350" i="3"/>
  <c r="H350" i="3"/>
  <c r="I350" i="3"/>
  <c r="J350" i="3"/>
  <c r="K350" i="3"/>
  <c r="K51" i="3" s="1"/>
  <c r="L350" i="3"/>
  <c r="M350" i="3"/>
  <c r="N350" i="3"/>
  <c r="O350" i="3"/>
  <c r="P350" i="3"/>
  <c r="A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A352" i="3"/>
  <c r="D352" i="3"/>
  <c r="D235" i="3" s="1"/>
  <c r="E352" i="3"/>
  <c r="E235" i="3" s="1"/>
  <c r="F352" i="3"/>
  <c r="F235" i="3" s="1"/>
  <c r="G352" i="3"/>
  <c r="G235" i="3" s="1"/>
  <c r="H352" i="3"/>
  <c r="H235" i="3" s="1"/>
  <c r="I352" i="3"/>
  <c r="J352" i="3"/>
  <c r="K352" i="3"/>
  <c r="K235" i="3" s="1"/>
  <c r="L352" i="3"/>
  <c r="L235" i="3" s="1"/>
  <c r="M352" i="3"/>
  <c r="M235" i="3" s="1"/>
  <c r="N352" i="3"/>
  <c r="N235" i="3" s="1"/>
  <c r="O352" i="3"/>
  <c r="O235" i="3" s="1"/>
  <c r="P352" i="3"/>
  <c r="A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A355" i="3"/>
  <c r="D355" i="3"/>
  <c r="E355" i="3"/>
  <c r="A357" i="3"/>
  <c r="D357" i="3"/>
  <c r="A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R358" i="3" s="1"/>
  <c r="Q358" i="3"/>
  <c r="A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R359" i="3" s="1"/>
  <c r="Q359" i="3"/>
  <c r="A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R360" i="3" s="1"/>
  <c r="Q360" i="3"/>
  <c r="A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R361" i="3" s="1"/>
  <c r="Q361" i="3"/>
  <c r="A362" i="3"/>
  <c r="D362" i="3"/>
  <c r="D224" i="3" s="1"/>
  <c r="E362" i="3"/>
  <c r="E224" i="3" s="1"/>
  <c r="AC224" i="3" s="1"/>
  <c r="F362" i="3"/>
  <c r="G362" i="3"/>
  <c r="H362" i="3"/>
  <c r="I362" i="3"/>
  <c r="I224" i="3" s="1"/>
  <c r="J362" i="3"/>
  <c r="J224" i="3" s="1"/>
  <c r="K362" i="3"/>
  <c r="K224" i="3" s="1"/>
  <c r="L362" i="3"/>
  <c r="L224" i="3" s="1"/>
  <c r="M362" i="3"/>
  <c r="M224" i="3" s="1"/>
  <c r="N362" i="3"/>
  <c r="O362" i="3"/>
  <c r="P362" i="3"/>
  <c r="R362" i="3" s="1"/>
  <c r="Q362" i="3"/>
  <c r="A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R363" i="3" s="1"/>
  <c r="Q363" i="3"/>
  <c r="A364" i="3"/>
  <c r="D364" i="3"/>
  <c r="D53" i="3" s="1"/>
  <c r="E364" i="3"/>
  <c r="E53" i="3" s="1"/>
  <c r="F364" i="3"/>
  <c r="F53" i="3" s="1"/>
  <c r="G364" i="3"/>
  <c r="G53" i="3" s="1"/>
  <c r="H364" i="3"/>
  <c r="H53" i="3" s="1"/>
  <c r="I364" i="3"/>
  <c r="I53" i="3" s="1"/>
  <c r="J364" i="3"/>
  <c r="J53" i="3" s="1"/>
  <c r="K364" i="3"/>
  <c r="L364" i="3"/>
  <c r="L53" i="3" s="1"/>
  <c r="L99" i="3" s="1"/>
  <c r="M364" i="3"/>
  <c r="M53" i="3" s="1"/>
  <c r="M174" i="3" s="1"/>
  <c r="N364" i="3"/>
  <c r="N53" i="3" s="1"/>
  <c r="O364" i="3"/>
  <c r="O53" i="3" s="1"/>
  <c r="P364" i="3"/>
  <c r="R364" i="3" s="1"/>
  <c r="Q364" i="3"/>
  <c r="A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R365" i="3" s="1"/>
  <c r="Q365" i="3"/>
  <c r="A367" i="3"/>
  <c r="A370" i="3"/>
  <c r="C370" i="3"/>
  <c r="M370" i="3"/>
  <c r="C371" i="3"/>
  <c r="M371" i="3"/>
  <c r="C372" i="3"/>
  <c r="C373" i="3"/>
  <c r="I378" i="3"/>
  <c r="K378" i="3"/>
  <c r="K431" i="3" s="1"/>
  <c r="M431" i="3" s="1"/>
  <c r="M440" i="3" s="1"/>
  <c r="M378" i="3"/>
  <c r="A381" i="3"/>
  <c r="A382" i="3"/>
  <c r="A383" i="3"/>
  <c r="A384" i="3"/>
  <c r="G384" i="3"/>
  <c r="A385" i="3"/>
  <c r="A386" i="3"/>
  <c r="G386" i="3"/>
  <c r="I414" i="3" s="1"/>
  <c r="A389" i="3"/>
  <c r="A390" i="3"/>
  <c r="A391" i="3"/>
  <c r="A392" i="3"/>
  <c r="A393" i="3"/>
  <c r="A394" i="3"/>
  <c r="A395" i="3"/>
  <c r="G395" i="3"/>
  <c r="A396" i="3"/>
  <c r="A397" i="3"/>
  <c r="A398" i="3"/>
  <c r="A400" i="3"/>
  <c r="A401" i="3"/>
  <c r="G401" i="3"/>
  <c r="A402" i="3"/>
  <c r="G402" i="3"/>
  <c r="A403" i="3"/>
  <c r="A404" i="3"/>
  <c r="A405" i="3"/>
  <c r="A406" i="3"/>
  <c r="E412" i="3"/>
  <c r="A416" i="3"/>
  <c r="A417" i="3"/>
  <c r="A418" i="3"/>
  <c r="A419" i="3"/>
  <c r="A420" i="3"/>
  <c r="A421" i="3"/>
  <c r="A423" i="3"/>
  <c r="A425" i="3"/>
  <c r="A426" i="3"/>
  <c r="G426" i="3"/>
  <c r="K429" i="3" s="1"/>
  <c r="A427" i="3"/>
  <c r="G427" i="3"/>
  <c r="A428" i="3"/>
  <c r="A429" i="3"/>
  <c r="A431" i="3"/>
  <c r="D431" i="3"/>
  <c r="A433" i="3"/>
  <c r="A434" i="3"/>
  <c r="A435" i="3"/>
  <c r="A436" i="3"/>
  <c r="A437" i="3"/>
  <c r="A438" i="3"/>
  <c r="A443" i="3"/>
  <c r="C443" i="3"/>
  <c r="M443" i="3"/>
  <c r="C444" i="3"/>
  <c r="M444" i="3"/>
  <c r="C445" i="3"/>
  <c r="C446" i="3"/>
  <c r="I451" i="3"/>
  <c r="K451" i="3"/>
  <c r="K504" i="3" s="1"/>
  <c r="M504" i="3" s="1"/>
  <c r="M451" i="3"/>
  <c r="M513" i="3" s="1"/>
  <c r="A454" i="3"/>
  <c r="A455" i="3"/>
  <c r="A456" i="3"/>
  <c r="A457" i="3"/>
  <c r="G457" i="3"/>
  <c r="A458" i="3"/>
  <c r="A459" i="3"/>
  <c r="G459" i="3"/>
  <c r="A462" i="3"/>
  <c r="A463" i="3"/>
  <c r="A464" i="3"/>
  <c r="A465" i="3"/>
  <c r="G465" i="3"/>
  <c r="A466" i="3"/>
  <c r="A467" i="3"/>
  <c r="A468" i="3"/>
  <c r="G468" i="3"/>
  <c r="A469" i="3"/>
  <c r="A470" i="3"/>
  <c r="A471" i="3"/>
  <c r="A473" i="3"/>
  <c r="A474" i="3"/>
  <c r="G474" i="3"/>
  <c r="A475" i="3"/>
  <c r="G475" i="3"/>
  <c r="A476" i="3"/>
  <c r="A477" i="3"/>
  <c r="A478" i="3"/>
  <c r="A479" i="3"/>
  <c r="A481" i="3"/>
  <c r="A483" i="3"/>
  <c r="A484" i="3"/>
  <c r="A485" i="3"/>
  <c r="E485" i="3"/>
  <c r="I487" i="3"/>
  <c r="A489" i="3"/>
  <c r="A490" i="3"/>
  <c r="A491" i="3"/>
  <c r="A492" i="3"/>
  <c r="A493" i="3"/>
  <c r="A496" i="3"/>
  <c r="A498" i="3"/>
  <c r="A499" i="3"/>
  <c r="G499" i="3"/>
  <c r="A500" i="3"/>
  <c r="G500" i="3"/>
  <c r="A501" i="3"/>
  <c r="A502" i="3"/>
  <c r="K502" i="3"/>
  <c r="A504" i="3"/>
  <c r="D504" i="3"/>
  <c r="A506" i="3"/>
  <c r="A507" i="3"/>
  <c r="A508" i="3"/>
  <c r="A509" i="3"/>
  <c r="A510" i="3"/>
  <c r="A511" i="3"/>
  <c r="A1" i="5"/>
  <c r="H1" i="5"/>
  <c r="V1" i="5"/>
  <c r="AA1" i="5"/>
  <c r="AV1" i="5"/>
  <c r="V2" i="5"/>
  <c r="AI2" i="5"/>
  <c r="AV2" i="5"/>
  <c r="I3" i="5"/>
  <c r="AI3" i="5" s="1"/>
  <c r="I4" i="5"/>
  <c r="AI4" i="5"/>
  <c r="D5" i="5"/>
  <c r="E5" i="5"/>
  <c r="G5" i="5"/>
  <c r="H5" i="5"/>
  <c r="I5" i="5"/>
  <c r="J5" i="5"/>
  <c r="K5" i="5"/>
  <c r="AK5" i="5" s="1"/>
  <c r="L5" i="5"/>
  <c r="M5" i="5"/>
  <c r="O5" i="5"/>
  <c r="T5" i="5"/>
  <c r="AT5" i="5" s="1"/>
  <c r="U5" i="5"/>
  <c r="V5" i="5"/>
  <c r="AD5" i="5"/>
  <c r="AE5" i="5"/>
  <c r="AG5" i="5"/>
  <c r="AH5" i="5"/>
  <c r="AI5" i="5"/>
  <c r="AJ5" i="5"/>
  <c r="AL5" i="5"/>
  <c r="AM5" i="5"/>
  <c r="AN5" i="5"/>
  <c r="AO5" i="5"/>
  <c r="AP5" i="5"/>
  <c r="AQ5" i="5"/>
  <c r="AR5" i="5"/>
  <c r="AU5" i="5"/>
  <c r="AV5" i="5"/>
  <c r="D6" i="5"/>
  <c r="AD6" i="5" s="1"/>
  <c r="E6" i="5"/>
  <c r="AE6" i="5" s="1"/>
  <c r="H6" i="5"/>
  <c r="I6" i="5"/>
  <c r="J6" i="5"/>
  <c r="K6" i="5"/>
  <c r="AK6" i="5" s="1"/>
  <c r="L6" i="5"/>
  <c r="AL6" i="5" s="1"/>
  <c r="M6" i="5"/>
  <c r="AM6" i="5" s="1"/>
  <c r="P6" i="5"/>
  <c r="Q6" i="5"/>
  <c r="R6" i="5"/>
  <c r="T6" i="5"/>
  <c r="AT6" i="5" s="1"/>
  <c r="U6" i="5"/>
  <c r="AU6" i="5" s="1"/>
  <c r="V6" i="5"/>
  <c r="AV6" i="5" s="1"/>
  <c r="AH6" i="5"/>
  <c r="AI6" i="5"/>
  <c r="AJ6" i="5"/>
  <c r="AP6" i="5"/>
  <c r="AQ6" i="5"/>
  <c r="AR6" i="5"/>
  <c r="D7" i="5"/>
  <c r="F7" i="5"/>
  <c r="G7" i="5"/>
  <c r="AG7" i="5" s="1"/>
  <c r="H7" i="5"/>
  <c r="AH7" i="5" s="1"/>
  <c r="I7" i="5"/>
  <c r="AI7" i="5" s="1"/>
  <c r="J7" i="5"/>
  <c r="AJ7" i="5" s="1"/>
  <c r="L7" i="5"/>
  <c r="N7" i="5"/>
  <c r="AN7" i="5" s="1"/>
  <c r="O7" i="5"/>
  <c r="AO7" i="5" s="1"/>
  <c r="P7" i="5"/>
  <c r="AP7" i="5" s="1"/>
  <c r="Q7" i="5"/>
  <c r="AQ7" i="5" s="1"/>
  <c r="R7" i="5"/>
  <c r="AR7" i="5" s="1"/>
  <c r="U7" i="5"/>
  <c r="AD7" i="5"/>
  <c r="AF7" i="5"/>
  <c r="AL7" i="5"/>
  <c r="AU7" i="5"/>
  <c r="A8" i="5"/>
  <c r="AA8" i="5" s="1"/>
  <c r="A9" i="5"/>
  <c r="AA9" i="5" s="1"/>
  <c r="D9" i="5"/>
  <c r="AD9" i="5" s="1"/>
  <c r="E9" i="5"/>
  <c r="F9" i="5"/>
  <c r="G9" i="5"/>
  <c r="G16" i="5" s="1"/>
  <c r="H9" i="5"/>
  <c r="H16" i="5" s="1"/>
  <c r="H25" i="5" s="1"/>
  <c r="I9" i="5"/>
  <c r="AI9" i="5" s="1"/>
  <c r="J9" i="5"/>
  <c r="K9" i="5"/>
  <c r="AK9" i="5" s="1"/>
  <c r="L9" i="5"/>
  <c r="AL9" i="5" s="1"/>
  <c r="M9" i="5"/>
  <c r="N9" i="5"/>
  <c r="O9" i="5"/>
  <c r="O16" i="5" s="1"/>
  <c r="O25" i="5" s="1"/>
  <c r="Q9" i="5"/>
  <c r="V9" i="5"/>
  <c r="AE9" i="5"/>
  <c r="AF9" i="5"/>
  <c r="AM9" i="5"/>
  <c r="AN9" i="5"/>
  <c r="AO9" i="5"/>
  <c r="AV9" i="5"/>
  <c r="A11" i="5"/>
  <c r="AA11" i="5" s="1"/>
  <c r="A12" i="5"/>
  <c r="D12" i="5"/>
  <c r="E12" i="5"/>
  <c r="E16" i="5" s="1"/>
  <c r="E25" i="5" s="1"/>
  <c r="E39" i="5" s="1"/>
  <c r="E50" i="5" s="1"/>
  <c r="E60" i="5" s="1"/>
  <c r="E64" i="5" s="1"/>
  <c r="F12" i="5"/>
  <c r="F16" i="5" s="1"/>
  <c r="F25" i="5" s="1"/>
  <c r="G12" i="5"/>
  <c r="H12" i="5"/>
  <c r="I12" i="5"/>
  <c r="J12" i="5"/>
  <c r="K12" i="5"/>
  <c r="L12" i="5"/>
  <c r="L16" i="5" s="1"/>
  <c r="M12" i="5"/>
  <c r="M16" i="5" s="1"/>
  <c r="M25" i="5" s="1"/>
  <c r="N12" i="5"/>
  <c r="N16" i="5" s="1"/>
  <c r="N25" i="5" s="1"/>
  <c r="O12" i="5"/>
  <c r="V12" i="5"/>
  <c r="V16" i="5" s="1"/>
  <c r="AA12" i="5"/>
  <c r="AJ12" i="5"/>
  <c r="AL12" i="5"/>
  <c r="AV12" i="5"/>
  <c r="A13" i="5"/>
  <c r="AA13" i="5" s="1"/>
  <c r="D13" i="5"/>
  <c r="E13" i="5"/>
  <c r="F13" i="5"/>
  <c r="G13" i="5"/>
  <c r="H13" i="5"/>
  <c r="I13" i="5"/>
  <c r="Q13" i="5" s="1"/>
  <c r="J13" i="5"/>
  <c r="J16" i="5" s="1"/>
  <c r="J25" i="5" s="1"/>
  <c r="K13" i="5"/>
  <c r="K16" i="5" s="1"/>
  <c r="K25" i="5" s="1"/>
  <c r="L13" i="5"/>
  <c r="M13" i="5"/>
  <c r="N13" i="5"/>
  <c r="O13" i="5"/>
  <c r="V13" i="5"/>
  <c r="AV13" i="5"/>
  <c r="A14" i="5"/>
  <c r="P14" i="5"/>
  <c r="R14" i="5" s="1"/>
  <c r="Q14" i="5"/>
  <c r="V14" i="5"/>
  <c r="AA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V14" i="5"/>
  <c r="A16" i="5"/>
  <c r="AA16" i="5" s="1"/>
  <c r="T16" i="5"/>
  <c r="T25" i="5" s="1"/>
  <c r="U16" i="5"/>
  <c r="U25" i="5" s="1"/>
  <c r="AT16" i="5"/>
  <c r="AU16" i="5"/>
  <c r="A18" i="5"/>
  <c r="AA18" i="5" s="1"/>
  <c r="P18" i="5"/>
  <c r="R18" i="5" s="1"/>
  <c r="Q18" i="5"/>
  <c r="V18" i="5"/>
  <c r="AG18" i="5"/>
  <c r="AH18" i="5"/>
  <c r="AO18" i="5"/>
  <c r="AV18" i="5"/>
  <c r="A19" i="5"/>
  <c r="P19" i="5"/>
  <c r="Q19" i="5"/>
  <c r="R19" i="5"/>
  <c r="V19" i="5"/>
  <c r="AA19" i="5"/>
  <c r="AV19" i="5"/>
  <c r="A20" i="5"/>
  <c r="P20" i="5"/>
  <c r="R20" i="5" s="1"/>
  <c r="Q20" i="5"/>
  <c r="V20" i="5"/>
  <c r="AA20" i="5"/>
  <c r="AV20" i="5"/>
  <c r="A21" i="5"/>
  <c r="AA21" i="5" s="1"/>
  <c r="D21" i="5"/>
  <c r="E21" i="5"/>
  <c r="AE21" i="5" s="1"/>
  <c r="F21" i="5"/>
  <c r="AF21" i="5" s="1"/>
  <c r="G21" i="5"/>
  <c r="H21" i="5"/>
  <c r="I21" i="5"/>
  <c r="J21" i="5"/>
  <c r="K21" i="5"/>
  <c r="M21" i="5"/>
  <c r="AM21" i="5" s="1"/>
  <c r="N21" i="5"/>
  <c r="AN21" i="5" s="1"/>
  <c r="O21" i="5"/>
  <c r="Q21" i="5"/>
  <c r="V21" i="5"/>
  <c r="AG21" i="5"/>
  <c r="AH21" i="5"/>
  <c r="AI21" i="5"/>
  <c r="AJ21" i="5"/>
  <c r="AO21" i="5"/>
  <c r="AV21" i="5"/>
  <c r="A22" i="5"/>
  <c r="AA22" i="5" s="1"/>
  <c r="D22" i="5"/>
  <c r="AD22" i="5" s="1"/>
  <c r="E22" i="5"/>
  <c r="F22" i="5"/>
  <c r="G22" i="5"/>
  <c r="Q22" i="5" s="1"/>
  <c r="H22" i="5"/>
  <c r="I22" i="5"/>
  <c r="AI22" i="5" s="1"/>
  <c r="J22" i="5"/>
  <c r="AJ22" i="5" s="1"/>
  <c r="K22" i="5"/>
  <c r="AK22" i="5" s="1"/>
  <c r="L22" i="5"/>
  <c r="AL22" i="5" s="1"/>
  <c r="M22" i="5"/>
  <c r="N22" i="5"/>
  <c r="O22" i="5"/>
  <c r="P22" i="5"/>
  <c r="V22" i="5"/>
  <c r="AF22" i="5"/>
  <c r="AG22" i="5"/>
  <c r="AM22" i="5"/>
  <c r="AN22" i="5"/>
  <c r="AO22" i="5"/>
  <c r="AV22" i="5"/>
  <c r="P23" i="5"/>
  <c r="Q23" i="5"/>
  <c r="R23" i="5"/>
  <c r="V23" i="5"/>
  <c r="AV23" i="5"/>
  <c r="A25" i="5"/>
  <c r="AA25" i="5" s="1"/>
  <c r="G25" i="5"/>
  <c r="AT25" i="5"/>
  <c r="AU25" i="5"/>
  <c r="AU39" i="5" s="1"/>
  <c r="AU50" i="5" s="1"/>
  <c r="AU60" i="5" s="1"/>
  <c r="AU64" i="5" s="1"/>
  <c r="A27" i="5"/>
  <c r="AA27" i="5" s="1"/>
  <c r="A28" i="5"/>
  <c r="P28" i="5"/>
  <c r="R28" i="5" s="1"/>
  <c r="Q28" i="5"/>
  <c r="V28" i="5"/>
  <c r="AA28" i="5"/>
  <c r="AV28" i="5"/>
  <c r="A29" i="5"/>
  <c r="AA29" i="5" s="1"/>
  <c r="P29" i="5"/>
  <c r="R29" i="5" s="1"/>
  <c r="Q29" i="5"/>
  <c r="V29" i="5"/>
  <c r="AV29" i="5"/>
  <c r="A30" i="5"/>
  <c r="AA30" i="5" s="1"/>
  <c r="P30" i="5"/>
  <c r="R30" i="5" s="1"/>
  <c r="Q30" i="5"/>
  <c r="V30" i="5"/>
  <c r="AD30" i="5"/>
  <c r="AF30" i="5"/>
  <c r="AG30" i="5"/>
  <c r="AH30" i="5"/>
  <c r="AI30" i="5"/>
  <c r="AJ30" i="5"/>
  <c r="AK30" i="5"/>
  <c r="AL30" i="5"/>
  <c r="AN30" i="5"/>
  <c r="AO30" i="5"/>
  <c r="AV30" i="5"/>
  <c r="A31" i="5"/>
  <c r="P31" i="5"/>
  <c r="Q31" i="5"/>
  <c r="R31" i="5"/>
  <c r="V31" i="5"/>
  <c r="AA31" i="5"/>
  <c r="AD31" i="5"/>
  <c r="AE31" i="5"/>
  <c r="AV31" i="5"/>
  <c r="A32" i="5"/>
  <c r="AA32" i="5" s="1"/>
  <c r="D32" i="5"/>
  <c r="AD32" i="5" s="1"/>
  <c r="E32" i="5"/>
  <c r="AE32" i="5" s="1"/>
  <c r="V32" i="5"/>
  <c r="AV32" i="5"/>
  <c r="A33" i="5"/>
  <c r="P33" i="5"/>
  <c r="Q33" i="5"/>
  <c r="R33" i="5"/>
  <c r="V33" i="5"/>
  <c r="AA33" i="5"/>
  <c r="AV33" i="5"/>
  <c r="A34" i="5"/>
  <c r="P34" i="5"/>
  <c r="R34" i="5" s="1"/>
  <c r="Q34" i="5"/>
  <c r="V34" i="5"/>
  <c r="V37" i="5" s="1"/>
  <c r="AA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V34" i="5"/>
  <c r="A35" i="5"/>
  <c r="AA35" i="5" s="1"/>
  <c r="P35" i="5"/>
  <c r="R35" i="5" s="1"/>
  <c r="Q35" i="5"/>
  <c r="V35" i="5"/>
  <c r="AV35" i="5"/>
  <c r="A37" i="5"/>
  <c r="AA37" i="5" s="1"/>
  <c r="D37" i="5"/>
  <c r="E37" i="5"/>
  <c r="T37" i="5"/>
  <c r="U37" i="5"/>
  <c r="AT37" i="5"/>
  <c r="AU37" i="5"/>
  <c r="A39" i="5"/>
  <c r="AA39" i="5"/>
  <c r="AT39" i="5"/>
  <c r="AT50" i="5" s="1"/>
  <c r="AT60" i="5" s="1"/>
  <c r="AT64" i="5" s="1"/>
  <c r="A41" i="5"/>
  <c r="AA41" i="5" s="1"/>
  <c r="A42" i="5"/>
  <c r="AA42" i="5" s="1"/>
  <c r="P42" i="5"/>
  <c r="Q42" i="5"/>
  <c r="Q48" i="5" s="1"/>
  <c r="R42" i="5"/>
  <c r="V42" i="5"/>
  <c r="V48" i="5" s="1"/>
  <c r="AV42" i="5"/>
  <c r="A43" i="5"/>
  <c r="P43" i="5"/>
  <c r="R43" i="5" s="1"/>
  <c r="Q43" i="5"/>
  <c r="V43" i="5"/>
  <c r="AA43" i="5"/>
  <c r="AV43" i="5"/>
  <c r="AV48" i="5" s="1"/>
  <c r="A44" i="5"/>
  <c r="AA44" i="5" s="1"/>
  <c r="P44" i="5"/>
  <c r="R44" i="5" s="1"/>
  <c r="Q44" i="5"/>
  <c r="V44" i="5"/>
  <c r="AV44" i="5"/>
  <c r="A45" i="5"/>
  <c r="AA45" i="5" s="1"/>
  <c r="P45" i="5"/>
  <c r="Q45" i="5"/>
  <c r="V45" i="5"/>
  <c r="AV45" i="5"/>
  <c r="P46" i="5"/>
  <c r="Q46" i="5"/>
  <c r="R46" i="5" s="1"/>
  <c r="V46" i="5"/>
  <c r="AV46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T48" i="5"/>
  <c r="U48" i="5"/>
  <c r="AT48" i="5"/>
  <c r="AU48" i="5"/>
  <c r="A50" i="5"/>
  <c r="AA50" i="5" s="1"/>
  <c r="A52" i="5"/>
  <c r="AA52" i="5" s="1"/>
  <c r="A53" i="5"/>
  <c r="AA53" i="5" s="1"/>
  <c r="P53" i="5"/>
  <c r="R53" i="5" s="1"/>
  <c r="Q53" i="5"/>
  <c r="V53" i="5"/>
  <c r="AD53" i="5"/>
  <c r="AE53" i="5"/>
  <c r="AF53" i="5"/>
  <c r="AG53" i="5"/>
  <c r="AJ53" i="5"/>
  <c r="AK53" i="5"/>
  <c r="AL53" i="5"/>
  <c r="AM53" i="5"/>
  <c r="AN53" i="5"/>
  <c r="AO53" i="5"/>
  <c r="AV53" i="5"/>
  <c r="A54" i="5"/>
  <c r="AA54" i="5" s="1"/>
  <c r="P54" i="5"/>
  <c r="Q54" i="5"/>
  <c r="Q58" i="5" s="1"/>
  <c r="V54" i="5"/>
  <c r="AV54" i="5"/>
  <c r="A55" i="5"/>
  <c r="AA55" i="5" s="1"/>
  <c r="P55" i="5"/>
  <c r="Q55" i="5"/>
  <c r="R55" i="5" s="1"/>
  <c r="V55" i="5"/>
  <c r="V58" i="5" s="1"/>
  <c r="AD55" i="5"/>
  <c r="AE55" i="5"/>
  <c r="AF55" i="5"/>
  <c r="AG55" i="5"/>
  <c r="AH55" i="5"/>
  <c r="AI55" i="5"/>
  <c r="AP55" i="5" s="1"/>
  <c r="AJ55" i="5"/>
  <c r="AK55" i="5"/>
  <c r="AL55" i="5"/>
  <c r="AM55" i="5"/>
  <c r="AN55" i="5"/>
  <c r="AO55" i="5"/>
  <c r="AV55" i="5"/>
  <c r="AV58" i="5" s="1"/>
  <c r="P56" i="5"/>
  <c r="Q56" i="5"/>
  <c r="R56" i="5" s="1"/>
  <c r="V56" i="5"/>
  <c r="AL56" i="5"/>
  <c r="AM56" i="5"/>
  <c r="AV56" i="5"/>
  <c r="A58" i="5"/>
  <c r="AA58" i="5" s="1"/>
  <c r="D58" i="5"/>
  <c r="E58" i="5"/>
  <c r="F58" i="5"/>
  <c r="G58" i="5"/>
  <c r="H58" i="5"/>
  <c r="I58" i="5"/>
  <c r="J58" i="5"/>
  <c r="K58" i="5"/>
  <c r="L58" i="5"/>
  <c r="M58" i="5"/>
  <c r="N58" i="5"/>
  <c r="O58" i="5"/>
  <c r="T58" i="5"/>
  <c r="U58" i="5"/>
  <c r="AT58" i="5"/>
  <c r="AU58" i="5"/>
  <c r="A60" i="5"/>
  <c r="AA60" i="5" s="1"/>
  <c r="A62" i="5"/>
  <c r="AA62" i="5" s="1"/>
  <c r="P62" i="5"/>
  <c r="Q62" i="5"/>
  <c r="R62" i="5"/>
  <c r="V62" i="5"/>
  <c r="AD62" i="5"/>
  <c r="AV62" i="5"/>
  <c r="AA66" i="5"/>
  <c r="A102" i="2" l="1"/>
  <c r="AA157" i="2"/>
  <c r="P235" i="3"/>
  <c r="Q235" i="3"/>
  <c r="R325" i="3"/>
  <c r="K55" i="3"/>
  <c r="K97" i="3"/>
  <c r="K172" i="3"/>
  <c r="AK54" i="5" s="1"/>
  <c r="AK58" i="5" s="1"/>
  <c r="Q330" i="3"/>
  <c r="AP22" i="5"/>
  <c r="AJ224" i="3"/>
  <c r="AQ224" i="3"/>
  <c r="R328" i="3"/>
  <c r="K161" i="3"/>
  <c r="AK43" i="5" s="1"/>
  <c r="E89" i="3"/>
  <c r="E160" i="3"/>
  <c r="E45" i="3"/>
  <c r="AQ55" i="5"/>
  <c r="AR55" i="5" s="1"/>
  <c r="P309" i="3"/>
  <c r="R309" i="3" s="1"/>
  <c r="Q309" i="3"/>
  <c r="E41" i="3"/>
  <c r="E162" i="3" s="1"/>
  <c r="AE44" i="5" s="1"/>
  <c r="P265" i="3"/>
  <c r="Q265" i="3"/>
  <c r="G69" i="3"/>
  <c r="G125" i="3"/>
  <c r="G6" i="5" s="1"/>
  <c r="AG6" i="5" s="1"/>
  <c r="G192" i="3"/>
  <c r="G254" i="3"/>
  <c r="P268" i="3"/>
  <c r="Q268" i="3"/>
  <c r="Q224" i="3"/>
  <c r="P335" i="3"/>
  <c r="Q335" i="3"/>
  <c r="N207" i="3"/>
  <c r="F207" i="3"/>
  <c r="J330" i="3"/>
  <c r="J233" i="3" s="1"/>
  <c r="P323" i="3"/>
  <c r="H330" i="3"/>
  <c r="H233" i="3" s="1"/>
  <c r="Q233" i="3" s="1"/>
  <c r="P318" i="3"/>
  <c r="Q318" i="3"/>
  <c r="P310" i="3"/>
  <c r="R310" i="3" s="1"/>
  <c r="Q310" i="3"/>
  <c r="N205" i="3"/>
  <c r="F205" i="3"/>
  <c r="P298" i="3"/>
  <c r="R298" i="3" s="1"/>
  <c r="J75" i="3"/>
  <c r="P287" i="3"/>
  <c r="Q287" i="3"/>
  <c r="P279" i="3"/>
  <c r="Q279" i="3"/>
  <c r="E210" i="3"/>
  <c r="Q210" i="3" s="1"/>
  <c r="P271" i="3"/>
  <c r="Q271" i="3"/>
  <c r="O39" i="3"/>
  <c r="G39" i="3"/>
  <c r="V239" i="3"/>
  <c r="AK227" i="3"/>
  <c r="AN227" i="3"/>
  <c r="AD227" i="3"/>
  <c r="AD218" i="3"/>
  <c r="K176" i="3"/>
  <c r="AA166" i="3"/>
  <c r="A48" i="5"/>
  <c r="AA48" i="5" s="1"/>
  <c r="AA164" i="3"/>
  <c r="A46" i="5"/>
  <c r="AA46" i="5" s="1"/>
  <c r="AG166" i="3"/>
  <c r="AG155" i="3"/>
  <c r="AG134" i="3"/>
  <c r="AG143" i="3" s="1"/>
  <c r="AG157" i="3" s="1"/>
  <c r="AG168" i="3" s="1"/>
  <c r="AG178" i="3" s="1"/>
  <c r="AG182" i="3" s="1"/>
  <c r="AF81" i="3"/>
  <c r="AF94" i="3" s="1"/>
  <c r="AF102" i="3" s="1"/>
  <c r="AF106" i="3" s="1"/>
  <c r="AH73" i="3"/>
  <c r="AH81" i="3" s="1"/>
  <c r="P334" i="3"/>
  <c r="R334" i="3" s="1"/>
  <c r="Q334" i="3"/>
  <c r="P286" i="3"/>
  <c r="Q286" i="3"/>
  <c r="R48" i="5"/>
  <c r="J55" i="3"/>
  <c r="J97" i="3"/>
  <c r="J172" i="3"/>
  <c r="P312" i="3"/>
  <c r="Q312" i="3"/>
  <c r="AH220" i="3"/>
  <c r="AA182" i="3"/>
  <c r="A64" i="5"/>
  <c r="AA64" i="5" s="1"/>
  <c r="U143" i="3"/>
  <c r="U157" i="3" s="1"/>
  <c r="U168" i="3" s="1"/>
  <c r="U178" i="3" s="1"/>
  <c r="U182" i="3" s="1"/>
  <c r="U184" i="3" s="1"/>
  <c r="AH59" i="3"/>
  <c r="AH180" i="3" s="1"/>
  <c r="E70" i="3"/>
  <c r="E193" i="3"/>
  <c r="E126" i="3"/>
  <c r="E7" i="5" s="1"/>
  <c r="AE7" i="5" s="1"/>
  <c r="P315" i="3"/>
  <c r="Q315" i="3"/>
  <c r="O205" i="3"/>
  <c r="K75" i="3"/>
  <c r="AF245" i="3"/>
  <c r="T143" i="3"/>
  <c r="T157" i="3" s="1"/>
  <c r="AH134" i="3"/>
  <c r="AD77" i="3"/>
  <c r="AK77" i="3"/>
  <c r="AN77" i="3"/>
  <c r="K99" i="3"/>
  <c r="K174" i="3"/>
  <c r="AK56" i="5" s="1"/>
  <c r="AJ9" i="3"/>
  <c r="AQ9" i="3"/>
  <c r="AC128" i="3"/>
  <c r="R54" i="5"/>
  <c r="R58" i="5" s="1"/>
  <c r="P58" i="5"/>
  <c r="AP14" i="5"/>
  <c r="AR14" i="5" s="1"/>
  <c r="AQ14" i="5"/>
  <c r="D16" i="5"/>
  <c r="D25" i="5" s="1"/>
  <c r="D39" i="5" s="1"/>
  <c r="D50" i="5" s="1"/>
  <c r="D60" i="5" s="1"/>
  <c r="D64" i="5" s="1"/>
  <c r="P12" i="5"/>
  <c r="Q12" i="5"/>
  <c r="Q16" i="5" s="1"/>
  <c r="Q25" i="5" s="1"/>
  <c r="AH9" i="5"/>
  <c r="P338" i="3"/>
  <c r="Q338" i="3"/>
  <c r="M207" i="3"/>
  <c r="E207" i="3"/>
  <c r="P313" i="3"/>
  <c r="Q313" i="3"/>
  <c r="E205" i="3"/>
  <c r="P305" i="3"/>
  <c r="R305" i="3" s="1"/>
  <c r="Q305" i="3"/>
  <c r="I75" i="3"/>
  <c r="P282" i="3"/>
  <c r="Q282" i="3"/>
  <c r="Q274" i="3"/>
  <c r="AC210" i="3"/>
  <c r="N39" i="3"/>
  <c r="F39" i="3"/>
  <c r="P266" i="3"/>
  <c r="Q266" i="3"/>
  <c r="O40" i="3"/>
  <c r="G40" i="3"/>
  <c r="D42" i="3"/>
  <c r="T245" i="3"/>
  <c r="AP243" i="3"/>
  <c r="AP245" i="3" s="1"/>
  <c r="AN230" i="3"/>
  <c r="R226" i="3"/>
  <c r="AB226" i="3"/>
  <c r="P225" i="3"/>
  <c r="J223" i="3"/>
  <c r="D216" i="3"/>
  <c r="AG180" i="3"/>
  <c r="AH161" i="3"/>
  <c r="AH160" i="3"/>
  <c r="AH166" i="3" s="1"/>
  <c r="AF166" i="3"/>
  <c r="AI12" i="5"/>
  <c r="L74" i="3"/>
  <c r="AB50" i="3"/>
  <c r="AC50" i="3"/>
  <c r="H55" i="3"/>
  <c r="H98" i="3"/>
  <c r="AC98" i="3" s="1"/>
  <c r="AM109" i="3"/>
  <c r="AP53" i="5"/>
  <c r="AQ53" i="5"/>
  <c r="P270" i="3"/>
  <c r="R270" i="3" s="1"/>
  <c r="Q270" i="3"/>
  <c r="V143" i="3"/>
  <c r="V157" i="3" s="1"/>
  <c r="V168" i="3" s="1"/>
  <c r="V178" i="3" s="1"/>
  <c r="V182" i="3" s="1"/>
  <c r="AJ9" i="5"/>
  <c r="E58" i="1"/>
  <c r="F53" i="1"/>
  <c r="F56" i="1" s="1"/>
  <c r="E18" i="2"/>
  <c r="P337" i="3"/>
  <c r="Q337" i="3"/>
  <c r="D43" i="3"/>
  <c r="P281" i="3"/>
  <c r="Q281" i="3"/>
  <c r="AH195" i="3"/>
  <c r="AH198" i="3" s="1"/>
  <c r="AF198" i="3"/>
  <c r="O69" i="3"/>
  <c r="O125" i="3"/>
  <c r="O6" i="5" s="1"/>
  <c r="AO6" i="5" s="1"/>
  <c r="O192" i="3"/>
  <c r="O254" i="3"/>
  <c r="P307" i="3"/>
  <c r="Q307" i="3"/>
  <c r="G205" i="3"/>
  <c r="AA141" i="3"/>
  <c r="A23" i="5"/>
  <c r="AA23" i="5" s="1"/>
  <c r="D15" i="1"/>
  <c r="E10" i="1"/>
  <c r="E13" i="1" s="1"/>
  <c r="D12" i="2"/>
  <c r="AP30" i="5"/>
  <c r="AR30" i="5" s="1"/>
  <c r="AV37" i="5"/>
  <c r="I16" i="5"/>
  <c r="I25" i="5" s="1"/>
  <c r="AG9" i="5"/>
  <c r="J99" i="3"/>
  <c r="J174" i="3"/>
  <c r="AJ56" i="5" s="1"/>
  <c r="AC235" i="3"/>
  <c r="D207" i="3"/>
  <c r="P333" i="3"/>
  <c r="Q333" i="3"/>
  <c r="P316" i="3"/>
  <c r="R316" i="3" s="1"/>
  <c r="Q316" i="3"/>
  <c r="P308" i="3"/>
  <c r="Q308" i="3"/>
  <c r="Q292" i="3"/>
  <c r="R292" i="3" s="1"/>
  <c r="P285" i="3"/>
  <c r="Q285" i="3"/>
  <c r="M11" i="3"/>
  <c r="E11" i="3"/>
  <c r="M39" i="3"/>
  <c r="P269" i="3"/>
  <c r="Q269" i="3"/>
  <c r="N40" i="3"/>
  <c r="F40" i="3"/>
  <c r="T239" i="3"/>
  <c r="T237" i="3" s="1"/>
  <c r="AQ232" i="3"/>
  <c r="AK230" i="3"/>
  <c r="AQ225" i="3"/>
  <c r="P224" i="3"/>
  <c r="I223" i="3"/>
  <c r="AQ218" i="3"/>
  <c r="V220" i="3"/>
  <c r="AF180" i="3"/>
  <c r="T176" i="3"/>
  <c r="I176" i="3"/>
  <c r="AI53" i="5"/>
  <c r="AH153" i="3"/>
  <c r="AH155" i="3" s="1"/>
  <c r="AF155" i="3"/>
  <c r="AH130" i="3"/>
  <c r="AG113" i="3"/>
  <c r="AG115" i="3" s="1"/>
  <c r="P98" i="3"/>
  <c r="AG88" i="3"/>
  <c r="AH88" i="3" s="1"/>
  <c r="AH31" i="3"/>
  <c r="AG140" i="3"/>
  <c r="L87" i="3"/>
  <c r="AC87" i="3" s="1"/>
  <c r="L21" i="5"/>
  <c r="P21" i="5" s="1"/>
  <c r="R21" i="5" s="1"/>
  <c r="M70" i="3"/>
  <c r="M193" i="3"/>
  <c r="M126" i="3"/>
  <c r="M7" i="5" s="1"/>
  <c r="AM7" i="5" s="1"/>
  <c r="AQ22" i="5"/>
  <c r="I55" i="3"/>
  <c r="I172" i="3"/>
  <c r="AI54" i="5" s="1"/>
  <c r="I97" i="3"/>
  <c r="R22" i="5"/>
  <c r="AQ21" i="5"/>
  <c r="AQ9" i="5"/>
  <c r="I99" i="3"/>
  <c r="I174" i="3"/>
  <c r="AI56" i="5" s="1"/>
  <c r="E51" i="3"/>
  <c r="P336" i="3"/>
  <c r="R336" i="3" s="1"/>
  <c r="Q336" i="3"/>
  <c r="P311" i="3"/>
  <c r="Q311" i="3"/>
  <c r="D11" i="3"/>
  <c r="P280" i="3"/>
  <c r="Q280" i="3"/>
  <c r="P272" i="3"/>
  <c r="Q272" i="3"/>
  <c r="L89" i="3"/>
  <c r="L160" i="3"/>
  <c r="M40" i="3"/>
  <c r="E40" i="3"/>
  <c r="P264" i="3"/>
  <c r="Q264" i="3"/>
  <c r="AG239" i="3"/>
  <c r="AN232" i="3"/>
  <c r="AN218" i="3"/>
  <c r="AN203" i="3"/>
  <c r="AA174" i="3"/>
  <c r="A56" i="5"/>
  <c r="AA56" i="5" s="1"/>
  <c r="AB171" i="3"/>
  <c r="AL21" i="5"/>
  <c r="AP21" i="5" s="1"/>
  <c r="AR21" i="5" s="1"/>
  <c r="AD52" i="3"/>
  <c r="AK52" i="3"/>
  <c r="G436" i="3" s="1"/>
  <c r="AN52" i="3"/>
  <c r="G509" i="3" s="1"/>
  <c r="T39" i="5"/>
  <c r="T50" i="5" s="1"/>
  <c r="T60" i="5" s="1"/>
  <c r="T64" i="5" s="1"/>
  <c r="V25" i="5"/>
  <c r="V39" i="5" s="1"/>
  <c r="V50" i="5" s="1"/>
  <c r="V60" i="5" s="1"/>
  <c r="V64" i="5" s="1"/>
  <c r="P317" i="3"/>
  <c r="Q317" i="3"/>
  <c r="AH171" i="3"/>
  <c r="AH176" i="3" s="1"/>
  <c r="AF176" i="3"/>
  <c r="R45" i="5"/>
  <c r="P273" i="3"/>
  <c r="E212" i="3"/>
  <c r="Q212" i="3" s="1"/>
  <c r="Q273" i="3"/>
  <c r="AH7" i="3"/>
  <c r="V70" i="3"/>
  <c r="V193" i="3"/>
  <c r="V126" i="3"/>
  <c r="V7" i="5" s="1"/>
  <c r="AV7" i="5" s="1"/>
  <c r="P9" i="5"/>
  <c r="AP34" i="5"/>
  <c r="AQ34" i="5"/>
  <c r="U39" i="5"/>
  <c r="U50" i="5" s="1"/>
  <c r="U60" i="5" s="1"/>
  <c r="U64" i="5" s="1"/>
  <c r="P13" i="5"/>
  <c r="R13" i="5" s="1"/>
  <c r="AV16" i="5"/>
  <c r="AV25" i="5" s="1"/>
  <c r="H99" i="3"/>
  <c r="H174" i="3"/>
  <c r="D51" i="3"/>
  <c r="P314" i="3"/>
  <c r="Q314" i="3"/>
  <c r="P306" i="3"/>
  <c r="R306" i="3" s="1"/>
  <c r="Q306" i="3"/>
  <c r="P283" i="3"/>
  <c r="R283" i="3" s="1"/>
  <c r="Q283" i="3"/>
  <c r="K74" i="3"/>
  <c r="P267" i="3"/>
  <c r="R267" i="3" s="1"/>
  <c r="P274" i="3"/>
  <c r="R274" i="3" s="1"/>
  <c r="Q267" i="3"/>
  <c r="AK218" i="3"/>
  <c r="AK203" i="3"/>
  <c r="AQ173" i="3"/>
  <c r="T166" i="3"/>
  <c r="AH140" i="3"/>
  <c r="AK21" i="5"/>
  <c r="AK128" i="3"/>
  <c r="AF134" i="3"/>
  <c r="AF143" i="3" s="1"/>
  <c r="AF157" i="3" s="1"/>
  <c r="AF168" i="3" s="1"/>
  <c r="AF178" i="3" s="1"/>
  <c r="R91" i="3"/>
  <c r="AB91" i="3"/>
  <c r="AH45" i="3"/>
  <c r="O99" i="3"/>
  <c r="O174" i="3"/>
  <c r="AO56" i="5" s="1"/>
  <c r="G99" i="3"/>
  <c r="G174" i="3"/>
  <c r="AG56" i="5" s="1"/>
  <c r="O51" i="3"/>
  <c r="G51" i="3"/>
  <c r="L205" i="3"/>
  <c r="D205" i="3"/>
  <c r="N28" i="3"/>
  <c r="N136" i="3" s="1"/>
  <c r="AN18" i="5" s="1"/>
  <c r="F28" i="3"/>
  <c r="F136" i="3" s="1"/>
  <c r="AF18" i="5" s="1"/>
  <c r="H12" i="3"/>
  <c r="J43" i="3"/>
  <c r="J164" i="3" s="1"/>
  <c r="AJ46" i="5" s="1"/>
  <c r="J74" i="3"/>
  <c r="D39" i="3"/>
  <c r="L41" i="3"/>
  <c r="L162" i="3" s="1"/>
  <c r="AL44" i="5" s="1"/>
  <c r="D41" i="3"/>
  <c r="L40" i="3"/>
  <c r="D40" i="3"/>
  <c r="AN100" i="3"/>
  <c r="AD100" i="3"/>
  <c r="AD205" i="2"/>
  <c r="CC92" i="2"/>
  <c r="N99" i="3"/>
  <c r="N174" i="3"/>
  <c r="AN56" i="5" s="1"/>
  <c r="F99" i="3"/>
  <c r="F174" i="3"/>
  <c r="AF56" i="5" s="1"/>
  <c r="N51" i="3"/>
  <c r="F51" i="3"/>
  <c r="E28" i="3"/>
  <c r="E136" i="3" s="1"/>
  <c r="AE18" i="5" s="1"/>
  <c r="O12" i="3"/>
  <c r="G12" i="3"/>
  <c r="I43" i="3"/>
  <c r="I164" i="3" s="1"/>
  <c r="AI46" i="5" s="1"/>
  <c r="I74" i="3"/>
  <c r="K39" i="3"/>
  <c r="K41" i="3"/>
  <c r="K162" i="3" s="1"/>
  <c r="AK44" i="5" s="1"/>
  <c r="AD236" i="3"/>
  <c r="AD228" i="3"/>
  <c r="V155" i="3"/>
  <c r="AK85" i="3"/>
  <c r="AN85" i="3"/>
  <c r="AD85" i="3"/>
  <c r="AG81" i="3"/>
  <c r="AG94" i="3" s="1"/>
  <c r="AG102" i="3" s="1"/>
  <c r="AG106" i="3" s="1"/>
  <c r="AB31" i="3"/>
  <c r="R31" i="3"/>
  <c r="R140" i="3" s="1"/>
  <c r="P140" i="3"/>
  <c r="AB140" i="3" s="1"/>
  <c r="Q31" i="3"/>
  <c r="Q140" i="3" s="1"/>
  <c r="H140" i="3"/>
  <c r="AH22" i="5" s="1"/>
  <c r="H88" i="3"/>
  <c r="Q88" i="3" s="1"/>
  <c r="E99" i="3"/>
  <c r="E174" i="3"/>
  <c r="AE56" i="5" s="1"/>
  <c r="M51" i="3"/>
  <c r="I207" i="3"/>
  <c r="D28" i="3"/>
  <c r="N12" i="3"/>
  <c r="F12" i="3"/>
  <c r="H43" i="3"/>
  <c r="H164" i="3" s="1"/>
  <c r="AH46" i="5" s="1"/>
  <c r="H74" i="3"/>
  <c r="H130" i="3"/>
  <c r="J39" i="3"/>
  <c r="J41" i="3"/>
  <c r="J162" i="3" s="1"/>
  <c r="AJ44" i="5" s="1"/>
  <c r="J40" i="3"/>
  <c r="M99" i="3"/>
  <c r="Q98" i="3"/>
  <c r="AH53" i="3"/>
  <c r="V36" i="3"/>
  <c r="V86" i="3"/>
  <c r="AC53" i="3"/>
  <c r="D99" i="3"/>
  <c r="P53" i="3"/>
  <c r="Q53" i="3"/>
  <c r="Q174" i="3" s="1"/>
  <c r="L51" i="3"/>
  <c r="K28" i="3"/>
  <c r="K136" i="3" s="1"/>
  <c r="AK18" i="5" s="1"/>
  <c r="M12" i="3"/>
  <c r="E12" i="3"/>
  <c r="O43" i="3"/>
  <c r="O164" i="3" s="1"/>
  <c r="AO46" i="5" s="1"/>
  <c r="G43" i="3"/>
  <c r="G164" i="3" s="1"/>
  <c r="AG46" i="5" s="1"/>
  <c r="O74" i="3"/>
  <c r="O130" i="3"/>
  <c r="G74" i="3"/>
  <c r="G130" i="3"/>
  <c r="I39" i="3"/>
  <c r="I41" i="3"/>
  <c r="I162" i="3" s="1"/>
  <c r="AI44" i="5" s="1"/>
  <c r="I40" i="3"/>
  <c r="AP155" i="3"/>
  <c r="AP157" i="3"/>
  <c r="AP168" i="3" s="1"/>
  <c r="AP178" i="3" s="1"/>
  <c r="AP182" i="3" s="1"/>
  <c r="AP184" i="3" s="1"/>
  <c r="P87" i="3"/>
  <c r="Q87" i="3"/>
  <c r="J28" i="3"/>
  <c r="J136" i="3" s="1"/>
  <c r="AJ18" i="5" s="1"/>
  <c r="L12" i="3"/>
  <c r="D12" i="3"/>
  <c r="N43" i="3"/>
  <c r="N164" i="3" s="1"/>
  <c r="AN46" i="5" s="1"/>
  <c r="F43" i="3"/>
  <c r="F164" i="3" s="1"/>
  <c r="AF46" i="5" s="1"/>
  <c r="N74" i="3"/>
  <c r="N130" i="3"/>
  <c r="F74" i="3"/>
  <c r="F130" i="3"/>
  <c r="H39" i="3"/>
  <c r="H41" i="3"/>
  <c r="H162" i="3" s="1"/>
  <c r="AH44" i="5" s="1"/>
  <c r="H40" i="3"/>
  <c r="D174" i="3"/>
  <c r="AD56" i="5" s="1"/>
  <c r="AK173" i="3"/>
  <c r="AM155" i="3"/>
  <c r="AM157" i="3" s="1"/>
  <c r="AM168" i="3" s="1"/>
  <c r="AM178" i="3" s="1"/>
  <c r="AM182" i="3" s="1"/>
  <c r="AM184" i="3" s="1"/>
  <c r="AH104" i="3"/>
  <c r="AJ52" i="3"/>
  <c r="AQ52" i="3"/>
  <c r="AJ32" i="3"/>
  <c r="AC132" i="3"/>
  <c r="AQ32" i="3"/>
  <c r="AB6" i="3"/>
  <c r="P69" i="3"/>
  <c r="AC88" i="3"/>
  <c r="AQ85" i="3"/>
  <c r="AP114" i="2"/>
  <c r="R79" i="3"/>
  <c r="AB79" i="3"/>
  <c r="P73" i="3"/>
  <c r="AC73" i="3"/>
  <c r="Q73" i="3"/>
  <c r="Q50" i="3"/>
  <c r="V45" i="3"/>
  <c r="AC31" i="3"/>
  <c r="AD148" i="3"/>
  <c r="AH50" i="3"/>
  <c r="AH55" i="3" s="1"/>
  <c r="AF55" i="3"/>
  <c r="AH34" i="3"/>
  <c r="AH16" i="3"/>
  <c r="AG36" i="3"/>
  <c r="AG47" i="3" s="1"/>
  <c r="AG57" i="3" s="1"/>
  <c r="AG61" i="3" s="1"/>
  <c r="P136" i="2"/>
  <c r="BF72" i="2"/>
  <c r="BE77" i="2"/>
  <c r="BH59" i="2"/>
  <c r="BG69" i="2"/>
  <c r="U81" i="3"/>
  <c r="U94" i="3" s="1"/>
  <c r="U102" i="3" s="1"/>
  <c r="U106" i="3" s="1"/>
  <c r="U109" i="3" s="1"/>
  <c r="AH12" i="3"/>
  <c r="AF36" i="3"/>
  <c r="AD3" i="3"/>
  <c r="I66" i="3"/>
  <c r="AD66" i="3" s="1"/>
  <c r="AP140" i="2"/>
  <c r="CI88" i="2"/>
  <c r="AJ88" i="2"/>
  <c r="T81" i="3"/>
  <c r="T94" i="3" s="1"/>
  <c r="T102" i="3" s="1"/>
  <c r="T106" i="3" s="1"/>
  <c r="T109" i="3" s="1"/>
  <c r="AH41" i="3"/>
  <c r="AF45" i="3"/>
  <c r="P32" i="3"/>
  <c r="Q32" i="3"/>
  <c r="Q132" i="3" s="1"/>
  <c r="AC30" i="3"/>
  <c r="P30" i="3"/>
  <c r="Q30" i="3"/>
  <c r="Q139" i="3" s="1"/>
  <c r="AD6" i="3"/>
  <c r="R69" i="3"/>
  <c r="AH5" i="3"/>
  <c r="V68" i="3"/>
  <c r="AP115" i="2"/>
  <c r="AH26" i="3"/>
  <c r="AP118" i="2"/>
  <c r="BF87" i="2"/>
  <c r="BE92" i="2"/>
  <c r="AE34" i="2"/>
  <c r="CE30" i="2"/>
  <c r="CC21" i="2"/>
  <c r="C172" i="2"/>
  <c r="AH40" i="2"/>
  <c r="AI37" i="2"/>
  <c r="R9" i="3"/>
  <c r="AB9" i="3"/>
  <c r="AP138" i="2"/>
  <c r="C140" i="2"/>
  <c r="C144" i="2" s="1"/>
  <c r="AF64" i="2"/>
  <c r="AE129" i="2"/>
  <c r="AE188" i="2"/>
  <c r="R432" i="1"/>
  <c r="AK20" i="3"/>
  <c r="G392" i="3" s="1"/>
  <c r="AD20" i="3"/>
  <c r="AF87" i="2"/>
  <c r="AE92" i="2"/>
  <c r="AE201" i="2" s="1"/>
  <c r="AE203" i="2" s="1"/>
  <c r="AE205" i="2" s="1"/>
  <c r="CE87" i="2"/>
  <c r="AE141" i="2"/>
  <c r="AE144" i="2" s="1"/>
  <c r="AE149" i="2" s="1"/>
  <c r="AE77" i="2"/>
  <c r="AF72" i="2"/>
  <c r="CE72" i="2"/>
  <c r="CC65" i="2"/>
  <c r="C128" i="2"/>
  <c r="BF69" i="2"/>
  <c r="E438" i="1"/>
  <c r="F431" i="1"/>
  <c r="F436" i="1" s="1"/>
  <c r="E73" i="2"/>
  <c r="CE89" i="2"/>
  <c r="F89" i="2"/>
  <c r="BD92" i="2"/>
  <c r="BD95" i="2" s="1"/>
  <c r="BD98" i="2" s="1"/>
  <c r="CC61" i="2"/>
  <c r="CC69" i="2" s="1"/>
  <c r="CC95" i="2" s="1"/>
  <c r="C69" i="2"/>
  <c r="C95" i="2" s="1"/>
  <c r="CF37" i="2"/>
  <c r="CC19" i="2"/>
  <c r="C118" i="2"/>
  <c r="D450" i="1"/>
  <c r="E440" i="1"/>
  <c r="D75" i="2"/>
  <c r="CE84" i="2"/>
  <c r="CD30" i="2"/>
  <c r="CD34" i="2" s="1"/>
  <c r="D34" i="2"/>
  <c r="P467" i="1"/>
  <c r="Q467" i="1"/>
  <c r="C186" i="2"/>
  <c r="C196" i="2" s="1"/>
  <c r="C205" i="2" s="1"/>
  <c r="CH88" i="2"/>
  <c r="AC30" i="2"/>
  <c r="AC34" i="2" s="1"/>
  <c r="CC30" i="2"/>
  <c r="CC34" i="2" s="1"/>
  <c r="C34" i="2"/>
  <c r="R425" i="1"/>
  <c r="CD89" i="2"/>
  <c r="AD92" i="2"/>
  <c r="AD201" i="2" s="1"/>
  <c r="AD203" i="2" s="1"/>
  <c r="BE69" i="2"/>
  <c r="AF63" i="2"/>
  <c r="AE69" i="2"/>
  <c r="AE95" i="2" s="1"/>
  <c r="AE128" i="2"/>
  <c r="D44" i="2"/>
  <c r="CD23" i="2"/>
  <c r="CD88" i="2"/>
  <c r="CD87" i="2"/>
  <c r="AD40" i="2"/>
  <c r="P284" i="1"/>
  <c r="Q284" i="1"/>
  <c r="D289" i="1"/>
  <c r="D247" i="1"/>
  <c r="AG40" i="2"/>
  <c r="AA1" i="2"/>
  <c r="BA1" i="2"/>
  <c r="CA1" i="2"/>
  <c r="E487" i="1"/>
  <c r="F478" i="1"/>
  <c r="P228" i="1"/>
  <c r="Q228" i="1"/>
  <c r="D171" i="1"/>
  <c r="D176" i="1" s="1"/>
  <c r="T228" i="1"/>
  <c r="U228" i="1" s="1"/>
  <c r="CC49" i="2"/>
  <c r="BH40" i="2"/>
  <c r="BI37" i="2"/>
  <c r="H9" i="2"/>
  <c r="BG9" i="2"/>
  <c r="AG9" i="2"/>
  <c r="CG9" i="2"/>
  <c r="BF9" i="2"/>
  <c r="AF9" i="2"/>
  <c r="Q453" i="1"/>
  <c r="Q460" i="1" s="1"/>
  <c r="P453" i="1"/>
  <c r="D429" i="1"/>
  <c r="E420" i="1"/>
  <c r="E427" i="1" s="1"/>
  <c r="D66" i="2"/>
  <c r="R409" i="1"/>
  <c r="CD37" i="2"/>
  <c r="AE9" i="2"/>
  <c r="CE9" i="2"/>
  <c r="Q491" i="1"/>
  <c r="D473" i="1"/>
  <c r="P296" i="1"/>
  <c r="R296" i="1" s="1"/>
  <c r="R245" i="1"/>
  <c r="T231" i="1"/>
  <c r="U231" i="1" s="1"/>
  <c r="P422" i="1"/>
  <c r="Q422" i="1"/>
  <c r="BE14" i="2"/>
  <c r="BJ7" i="2"/>
  <c r="AJ7" i="2"/>
  <c r="P494" i="1"/>
  <c r="Q494" i="1"/>
  <c r="D500" i="1"/>
  <c r="P468" i="1"/>
  <c r="Q468" i="1"/>
  <c r="P441" i="1"/>
  <c r="R441" i="1" s="1"/>
  <c r="Q441" i="1"/>
  <c r="Q450" i="1" s="1"/>
  <c r="P392" i="1"/>
  <c r="AE14" i="2"/>
  <c r="AD26" i="2"/>
  <c r="AD52" i="2" s="1"/>
  <c r="BI7" i="2"/>
  <c r="AI7" i="2"/>
  <c r="P443" i="1"/>
  <c r="R443" i="1" s="1"/>
  <c r="G391" i="1"/>
  <c r="G396" i="1" s="1"/>
  <c r="F398" i="1"/>
  <c r="F381" i="1"/>
  <c r="F386" i="1" s="1"/>
  <c r="E388" i="1"/>
  <c r="Q352" i="1"/>
  <c r="Q360" i="1" s="1"/>
  <c r="F312" i="1"/>
  <c r="F317" i="1" s="1"/>
  <c r="E319" i="1"/>
  <c r="AH7" i="2"/>
  <c r="CH7" i="2"/>
  <c r="R498" i="1"/>
  <c r="R470" i="1"/>
  <c r="D460" i="1"/>
  <c r="E452" i="1"/>
  <c r="E458" i="1" s="1"/>
  <c r="P423" i="1"/>
  <c r="R423" i="1" s="1"/>
  <c r="Q423" i="1"/>
  <c r="P282" i="1"/>
  <c r="CF4" i="2"/>
  <c r="D416" i="1"/>
  <c r="Q409" i="1"/>
  <c r="P406" i="1"/>
  <c r="L359" i="1"/>
  <c r="P356" i="1"/>
  <c r="Q356" i="1"/>
  <c r="D359" i="1"/>
  <c r="D362" i="1" s="1"/>
  <c r="D366" i="1" s="1"/>
  <c r="BF4" i="2"/>
  <c r="Q403" i="1"/>
  <c r="R403" i="1" s="1"/>
  <c r="K359" i="1"/>
  <c r="K362" i="1" s="1"/>
  <c r="R305" i="1"/>
  <c r="K289" i="1"/>
  <c r="L280" i="1" s="1"/>
  <c r="Q253" i="1"/>
  <c r="P253" i="1"/>
  <c r="R253" i="1" s="1"/>
  <c r="P232" i="1"/>
  <c r="R232" i="1" s="1"/>
  <c r="R414" i="1"/>
  <c r="P408" i="1"/>
  <c r="R408" i="1" s="1"/>
  <c r="Q392" i="1"/>
  <c r="Q398" i="1" s="1"/>
  <c r="M362" i="1"/>
  <c r="P350" i="1"/>
  <c r="Q350" i="1"/>
  <c r="E335" i="1"/>
  <c r="F321" i="1"/>
  <c r="F333" i="1" s="1"/>
  <c r="L289" i="1"/>
  <c r="M280" i="1" s="1"/>
  <c r="P283" i="1"/>
  <c r="R283" i="1" s="1"/>
  <c r="D270" i="1"/>
  <c r="D186" i="1"/>
  <c r="E180" i="1"/>
  <c r="F115" i="1"/>
  <c r="F123" i="1" s="1"/>
  <c r="E125" i="1"/>
  <c r="R382" i="1"/>
  <c r="Q357" i="1"/>
  <c r="F310" i="1"/>
  <c r="F465" i="1" s="1"/>
  <c r="G303" i="1"/>
  <c r="G308" i="1" s="1"/>
  <c r="P202" i="1"/>
  <c r="Q202" i="1"/>
  <c r="Q249" i="1" s="1"/>
  <c r="T202" i="1"/>
  <c r="U203" i="1" s="1"/>
  <c r="R407" i="1"/>
  <c r="P372" i="1"/>
  <c r="R372" i="1" s="1"/>
  <c r="Q372" i="1"/>
  <c r="Q378" i="1" s="1"/>
  <c r="D376" i="1"/>
  <c r="P354" i="1"/>
  <c r="R354" i="1" s="1"/>
  <c r="D343" i="1"/>
  <c r="E338" i="1"/>
  <c r="E341" i="1" s="1"/>
  <c r="R256" i="1"/>
  <c r="E270" i="1"/>
  <c r="F252" i="1"/>
  <c r="P209" i="1"/>
  <c r="Q209" i="1"/>
  <c r="T209" i="1"/>
  <c r="U209" i="1" s="1"/>
  <c r="Q406" i="1"/>
  <c r="Q418" i="1" s="1"/>
  <c r="Q282" i="1"/>
  <c r="Q289" i="1" s="1"/>
  <c r="F289" i="1"/>
  <c r="G280" i="1" s="1"/>
  <c r="R255" i="1"/>
  <c r="P218" i="1"/>
  <c r="R218" i="1" s="1"/>
  <c r="Q218" i="1"/>
  <c r="T218" i="1"/>
  <c r="H359" i="1"/>
  <c r="H362" i="1" s="1"/>
  <c r="L352" i="1"/>
  <c r="L360" i="1" s="1"/>
  <c r="P347" i="1"/>
  <c r="D352" i="1"/>
  <c r="D360" i="1" s="1"/>
  <c r="Q335" i="1"/>
  <c r="P224" i="1"/>
  <c r="Q224" i="1"/>
  <c r="T224" i="1"/>
  <c r="U224" i="1" s="1"/>
  <c r="G148" i="1"/>
  <c r="F163" i="1"/>
  <c r="E137" i="1"/>
  <c r="E144" i="1" s="1"/>
  <c r="D146" i="1"/>
  <c r="T92" i="1"/>
  <c r="U92" i="1" s="1"/>
  <c r="P92" i="1"/>
  <c r="Q92" i="1"/>
  <c r="T84" i="1"/>
  <c r="U84" i="1" s="1"/>
  <c r="P84" i="1"/>
  <c r="Q84" i="1"/>
  <c r="T79" i="1"/>
  <c r="E60" i="1"/>
  <c r="E63" i="1" s="1"/>
  <c r="D65" i="1"/>
  <c r="O357" i="1"/>
  <c r="P357" i="1" s="1"/>
  <c r="R357" i="1" s="1"/>
  <c r="P254" i="1"/>
  <c r="Q254" i="1"/>
  <c r="P234" i="1"/>
  <c r="R234" i="1" s="1"/>
  <c r="P229" i="1"/>
  <c r="R229" i="1" s="1"/>
  <c r="Q229" i="1"/>
  <c r="T229" i="1"/>
  <c r="U229" i="1" s="1"/>
  <c r="P217" i="1"/>
  <c r="Q217" i="1"/>
  <c r="T217" i="1"/>
  <c r="U218" i="1" s="1"/>
  <c r="D194" i="1"/>
  <c r="E188" i="1"/>
  <c r="P166" i="1"/>
  <c r="Q166" i="1"/>
  <c r="G37" i="1"/>
  <c r="G41" i="1" s="1"/>
  <c r="E77" i="1"/>
  <c r="E97" i="1" s="1"/>
  <c r="D99" i="1"/>
  <c r="P263" i="1"/>
  <c r="R263" i="1" s="1"/>
  <c r="R233" i="1"/>
  <c r="Q240" i="1"/>
  <c r="R240" i="1" s="1"/>
  <c r="R219" i="1"/>
  <c r="P116" i="1"/>
  <c r="Q116" i="1"/>
  <c r="Q125" i="1" s="1"/>
  <c r="P83" i="1"/>
  <c r="Q83" i="1"/>
  <c r="T83" i="1"/>
  <c r="U83" i="1" s="1"/>
  <c r="T232" i="1"/>
  <c r="U232" i="1" s="1"/>
  <c r="P225" i="1"/>
  <c r="R225" i="1" s="1"/>
  <c r="R189" i="1"/>
  <c r="R182" i="1"/>
  <c r="P167" i="1"/>
  <c r="Q167" i="1"/>
  <c r="D125" i="1"/>
  <c r="K27" i="1"/>
  <c r="L18" i="1" s="1"/>
  <c r="J27" i="1"/>
  <c r="K18" i="1" s="1"/>
  <c r="U239" i="1"/>
  <c r="P221" i="1"/>
  <c r="Q221" i="1"/>
  <c r="P157" i="1"/>
  <c r="Q157" i="1"/>
  <c r="Q163" i="1" s="1"/>
  <c r="E134" i="1"/>
  <c r="E261" i="3" s="1"/>
  <c r="E42" i="3" s="1"/>
  <c r="F127" i="1"/>
  <c r="F132" i="1" s="1"/>
  <c r="P89" i="1"/>
  <c r="R89" i="1" s="1"/>
  <c r="Q89" i="1"/>
  <c r="T89" i="1"/>
  <c r="U89" i="1" s="1"/>
  <c r="F45" i="1"/>
  <c r="F49" i="1" s="1"/>
  <c r="E51" i="1"/>
  <c r="E17" i="3" s="1"/>
  <c r="P235" i="1"/>
  <c r="Q235" i="1"/>
  <c r="P230" i="1"/>
  <c r="E101" i="1"/>
  <c r="E111" i="1" s="1"/>
  <c r="D113" i="1"/>
  <c r="E67" i="1"/>
  <c r="E72" i="1" s="1"/>
  <c r="D74" i="1"/>
  <c r="P24" i="1"/>
  <c r="Q24" i="1"/>
  <c r="L27" i="1"/>
  <c r="M18" i="1" s="1"/>
  <c r="D27" i="1"/>
  <c r="E18" i="1" s="1"/>
  <c r="P22" i="1"/>
  <c r="Q22" i="1"/>
  <c r="Q27" i="1" s="1"/>
  <c r="P27" i="1"/>
  <c r="R236" i="1"/>
  <c r="Q233" i="1"/>
  <c r="Q230" i="1"/>
  <c r="R207" i="1"/>
  <c r="P173" i="1"/>
  <c r="R173" i="1" s="1"/>
  <c r="R141" i="1"/>
  <c r="Q82" i="1"/>
  <c r="R82" i="1" s="1"/>
  <c r="T82" i="1"/>
  <c r="U82" i="1" s="1"/>
  <c r="P78" i="1"/>
  <c r="R78" i="1" s="1"/>
  <c r="Q78" i="1"/>
  <c r="T78" i="1"/>
  <c r="U79" i="1" s="1"/>
  <c r="C33" i="1"/>
  <c r="D18" i="1"/>
  <c r="P18" i="1" s="1"/>
  <c r="Q138" i="1"/>
  <c r="R138" i="1" s="1"/>
  <c r="P79" i="1"/>
  <c r="R79" i="1" s="1"/>
  <c r="Q79" i="1"/>
  <c r="P23" i="1"/>
  <c r="Q23" i="1"/>
  <c r="T233" i="1"/>
  <c r="U233" i="1" s="1"/>
  <c r="R142" i="1"/>
  <c r="Q139" i="1"/>
  <c r="R139" i="1" s="1"/>
  <c r="P80" i="1"/>
  <c r="R80" i="1" s="1"/>
  <c r="Q74" i="1"/>
  <c r="Q234" i="1"/>
  <c r="P21" i="1"/>
  <c r="R21" i="1" s="1"/>
  <c r="E165" i="1" l="1"/>
  <c r="D178" i="1"/>
  <c r="D38" i="2"/>
  <c r="D289" i="3"/>
  <c r="E401" i="1"/>
  <c r="E416" i="1" s="1"/>
  <c r="D418" i="1"/>
  <c r="D26" i="3" s="1"/>
  <c r="D67" i="2"/>
  <c r="Q55" i="3"/>
  <c r="Q171" i="3"/>
  <c r="Q176" i="3" s="1"/>
  <c r="L55" i="3"/>
  <c r="L172" i="3"/>
  <c r="L97" i="3"/>
  <c r="CE18" i="2"/>
  <c r="E171" i="2"/>
  <c r="E117" i="2"/>
  <c r="AJ128" i="3"/>
  <c r="AQ128" i="3"/>
  <c r="R157" i="1"/>
  <c r="R422" i="1"/>
  <c r="R32" i="3"/>
  <c r="R132" i="3" s="1"/>
  <c r="P132" i="3"/>
  <c r="AB132" i="3" s="1"/>
  <c r="AB32" i="3"/>
  <c r="AE42" i="5"/>
  <c r="E184" i="1"/>
  <c r="E291" i="3"/>
  <c r="C133" i="2"/>
  <c r="I90" i="3"/>
  <c r="I161" i="3"/>
  <c r="AI43" i="5" s="1"/>
  <c r="N75" i="3"/>
  <c r="N223" i="3"/>
  <c r="AC51" i="3"/>
  <c r="P51" i="3"/>
  <c r="Q51" i="3"/>
  <c r="Q172" i="3" s="1"/>
  <c r="D55" i="3"/>
  <c r="D97" i="3"/>
  <c r="D172" i="3"/>
  <c r="R333" i="3"/>
  <c r="R313" i="3"/>
  <c r="C272" i="1"/>
  <c r="C509" i="1" s="1"/>
  <c r="D17" i="1"/>
  <c r="D33" i="1" s="1"/>
  <c r="C13" i="2"/>
  <c r="R116" i="1"/>
  <c r="E371" i="1"/>
  <c r="E376" i="1" s="1"/>
  <c r="D64" i="2"/>
  <c r="D378" i="1"/>
  <c r="G310" i="1"/>
  <c r="G15" i="2"/>
  <c r="CG15" i="2" s="1"/>
  <c r="H303" i="1"/>
  <c r="H308" i="1" s="1"/>
  <c r="R350" i="1"/>
  <c r="Q359" i="1"/>
  <c r="Q362" i="1" s="1"/>
  <c r="Q368" i="1" s="1"/>
  <c r="F388" i="1"/>
  <c r="G381" i="1"/>
  <c r="G386" i="1" s="1"/>
  <c r="F72" i="2"/>
  <c r="AF14" i="2"/>
  <c r="AE26" i="2"/>
  <c r="AE52" i="2" s="1"/>
  <c r="AE98" i="2" s="1"/>
  <c r="Q502" i="1"/>
  <c r="R228" i="1"/>
  <c r="CF89" i="2"/>
  <c r="G89" i="2"/>
  <c r="AG64" i="2"/>
  <c r="AF129" i="2"/>
  <c r="AF188" i="2"/>
  <c r="AI40" i="2"/>
  <c r="AJ37" i="2"/>
  <c r="AD69" i="3"/>
  <c r="AD192" i="3"/>
  <c r="AD125" i="3"/>
  <c r="AF47" i="3"/>
  <c r="AF57" i="3" s="1"/>
  <c r="AF61" i="3" s="1"/>
  <c r="AJ73" i="3"/>
  <c r="AQ73" i="3"/>
  <c r="P88" i="3"/>
  <c r="AF12" i="5"/>
  <c r="L75" i="3"/>
  <c r="L223" i="3"/>
  <c r="P99" i="3"/>
  <c r="AC99" i="3"/>
  <c r="Q99" i="3"/>
  <c r="Q28" i="3"/>
  <c r="Q136" i="3" s="1"/>
  <c r="P28" i="3"/>
  <c r="AC28" i="3"/>
  <c r="D136" i="3"/>
  <c r="AD18" i="5" s="1"/>
  <c r="O97" i="3"/>
  <c r="O55" i="3"/>
  <c r="O172" i="3"/>
  <c r="AH56" i="5"/>
  <c r="AH58" i="5" s="1"/>
  <c r="H176" i="3"/>
  <c r="R273" i="3"/>
  <c r="E90" i="3"/>
  <c r="E161" i="3"/>
  <c r="AE43" i="5" s="1"/>
  <c r="R280" i="3"/>
  <c r="P212" i="3"/>
  <c r="F90" i="3"/>
  <c r="F161" i="3"/>
  <c r="AF43" i="5" s="1"/>
  <c r="R285" i="3"/>
  <c r="Q207" i="3"/>
  <c r="AC207" i="3"/>
  <c r="P207" i="3"/>
  <c r="CD12" i="2"/>
  <c r="D114" i="2"/>
  <c r="D168" i="2"/>
  <c r="R307" i="3"/>
  <c r="R281" i="3"/>
  <c r="AC216" i="3"/>
  <c r="P216" i="3"/>
  <c r="Q216" i="3"/>
  <c r="AC233" i="3"/>
  <c r="R282" i="3"/>
  <c r="L25" i="5"/>
  <c r="R286" i="3"/>
  <c r="R27" i="1"/>
  <c r="E343" i="1"/>
  <c r="E22" i="3" s="1"/>
  <c r="F338" i="1"/>
  <c r="F341" i="1" s="1"/>
  <c r="E62" i="2"/>
  <c r="CD75" i="2"/>
  <c r="CD77" i="2" s="1"/>
  <c r="D77" i="2"/>
  <c r="H90" i="3"/>
  <c r="H161" i="3"/>
  <c r="AH43" i="5" s="1"/>
  <c r="G161" i="1"/>
  <c r="G263" i="3"/>
  <c r="R467" i="1"/>
  <c r="R272" i="3"/>
  <c r="AR53" i="5"/>
  <c r="R12" i="5"/>
  <c r="R282" i="1"/>
  <c r="P289" i="1"/>
  <c r="R289" i="1" s="1"/>
  <c r="E463" i="1"/>
  <c r="D475" i="1"/>
  <c r="D14" i="2"/>
  <c r="AC52" i="2"/>
  <c r="AC98" i="2" s="1"/>
  <c r="AC173" i="2"/>
  <c r="AC181" i="2" s="1"/>
  <c r="AC208" i="2" s="1"/>
  <c r="AC120" i="2"/>
  <c r="K89" i="3"/>
  <c r="K160" i="3"/>
  <c r="R264" i="3"/>
  <c r="P233" i="3"/>
  <c r="AR22" i="5"/>
  <c r="E113" i="1"/>
  <c r="F101" i="1"/>
  <c r="F111" i="1" s="1"/>
  <c r="E24" i="2"/>
  <c r="CE24" i="2" s="1"/>
  <c r="R221" i="1"/>
  <c r="E99" i="1"/>
  <c r="F77" i="1"/>
  <c r="F97" i="1" s="1"/>
  <c r="E22" i="2"/>
  <c r="CE22" i="2" s="1"/>
  <c r="R230" i="1"/>
  <c r="H37" i="1"/>
  <c r="H41" i="1" s="1"/>
  <c r="G43" i="1"/>
  <c r="G16" i="2"/>
  <c r="CG16" i="2" s="1"/>
  <c r="R217" i="1"/>
  <c r="O359" i="1"/>
  <c r="O362" i="1" s="1"/>
  <c r="R92" i="1"/>
  <c r="R224" i="1"/>
  <c r="R209" i="1"/>
  <c r="P359" i="1"/>
  <c r="R356" i="1"/>
  <c r="F24" i="3"/>
  <c r="R494" i="1"/>
  <c r="R453" i="1"/>
  <c r="I9" i="2"/>
  <c r="BH9" i="2"/>
  <c r="CH9" i="2"/>
  <c r="AH9" i="2"/>
  <c r="H165" i="2"/>
  <c r="H110" i="2"/>
  <c r="R491" i="1"/>
  <c r="AG119" i="2"/>
  <c r="AG174" i="2"/>
  <c r="AD95" i="2"/>
  <c r="AH119" i="2"/>
  <c r="AH174" i="2"/>
  <c r="AH241" i="3"/>
  <c r="AH36" i="3"/>
  <c r="AH47" i="3" s="1"/>
  <c r="AH57" i="3" s="1"/>
  <c r="AH61" i="3" s="1"/>
  <c r="AB73" i="3"/>
  <c r="R73" i="3"/>
  <c r="I89" i="3"/>
  <c r="I160" i="3"/>
  <c r="AQ53" i="3"/>
  <c r="AJ53" i="3"/>
  <c r="AC174" i="3"/>
  <c r="J89" i="3"/>
  <c r="J160" i="3"/>
  <c r="R9" i="5"/>
  <c r="R16" i="5" s="1"/>
  <c r="R25" i="5" s="1"/>
  <c r="P16" i="5"/>
  <c r="P25" i="5" s="1"/>
  <c r="M90" i="3"/>
  <c r="M161" i="3"/>
  <c r="AM43" i="5" s="1"/>
  <c r="AC11" i="3"/>
  <c r="P11" i="3"/>
  <c r="Q11" i="3"/>
  <c r="D130" i="3"/>
  <c r="D74" i="3"/>
  <c r="AC212" i="3"/>
  <c r="N90" i="3"/>
  <c r="N161" i="3"/>
  <c r="AN43" i="5" s="1"/>
  <c r="AJ235" i="3"/>
  <c r="AQ235" i="3"/>
  <c r="AC43" i="3"/>
  <c r="D164" i="3"/>
  <c r="AD46" i="5" s="1"/>
  <c r="P43" i="3"/>
  <c r="Q43" i="3"/>
  <c r="Q164" i="3" s="1"/>
  <c r="R266" i="3"/>
  <c r="E481" i="3"/>
  <c r="R312" i="3"/>
  <c r="E408" i="3"/>
  <c r="R279" i="3"/>
  <c r="F67" i="1"/>
  <c r="F72" i="1" s="1"/>
  <c r="E74" i="1"/>
  <c r="E23" i="3" s="1"/>
  <c r="E21" i="2"/>
  <c r="CE21" i="2" s="1"/>
  <c r="BH69" i="2"/>
  <c r="BI59" i="2"/>
  <c r="AC205" i="3"/>
  <c r="P205" i="3"/>
  <c r="Q205" i="3"/>
  <c r="D163" i="3"/>
  <c r="AD45" i="5" s="1"/>
  <c r="R83" i="1"/>
  <c r="F125" i="1"/>
  <c r="G115" i="1"/>
  <c r="G123" i="1" s="1"/>
  <c r="F30" i="2"/>
  <c r="E448" i="1"/>
  <c r="E332" i="3"/>
  <c r="P39" i="3"/>
  <c r="Q39" i="3"/>
  <c r="D89" i="3"/>
  <c r="D45" i="3"/>
  <c r="D160" i="3"/>
  <c r="AC39" i="3"/>
  <c r="R314" i="3"/>
  <c r="E55" i="3"/>
  <c r="E97" i="3"/>
  <c r="E172" i="3"/>
  <c r="G53" i="1"/>
  <c r="G56" i="1" s="1"/>
  <c r="F58" i="1"/>
  <c r="F18" i="2"/>
  <c r="CF18" i="2" s="1"/>
  <c r="R271" i="3"/>
  <c r="R22" i="1"/>
  <c r="R254" i="1"/>
  <c r="E363" i="1"/>
  <c r="E366" i="1" s="1"/>
  <c r="D368" i="1"/>
  <c r="D63" i="2"/>
  <c r="D502" i="1"/>
  <c r="E490" i="1"/>
  <c r="D90" i="2"/>
  <c r="D367" i="3"/>
  <c r="H160" i="3"/>
  <c r="H89" i="3"/>
  <c r="AF237" i="3"/>
  <c r="AH237" i="3" s="1"/>
  <c r="V237" i="3"/>
  <c r="T168" i="3"/>
  <c r="T178" i="3" s="1"/>
  <c r="T182" i="3" s="1"/>
  <c r="T184" i="3" s="1"/>
  <c r="R268" i="3"/>
  <c r="R265" i="3"/>
  <c r="F268" i="1"/>
  <c r="F304" i="3"/>
  <c r="G398" i="1"/>
  <c r="G24" i="3" s="1"/>
  <c r="G149" i="3" s="1"/>
  <c r="AG31" i="5" s="1"/>
  <c r="H391" i="1"/>
  <c r="H396" i="1" s="1"/>
  <c r="G65" i="2"/>
  <c r="CG65" i="2" s="1"/>
  <c r="BI40" i="2"/>
  <c r="BJ37" i="2"/>
  <c r="AE120" i="2"/>
  <c r="AE123" i="2" s="1"/>
  <c r="AE151" i="2" s="1"/>
  <c r="AE173" i="2"/>
  <c r="AE181" i="2" s="1"/>
  <c r="AE208" i="2" s="1"/>
  <c r="AK88" i="2"/>
  <c r="CJ88" i="2"/>
  <c r="AG109" i="3"/>
  <c r="AG184" i="3"/>
  <c r="AB192" i="3"/>
  <c r="AB125" i="3"/>
  <c r="AB69" i="3"/>
  <c r="AN12" i="5"/>
  <c r="AG12" i="5"/>
  <c r="E75" i="3"/>
  <c r="E223" i="3"/>
  <c r="V113" i="3"/>
  <c r="V115" i="3" s="1"/>
  <c r="V94" i="3"/>
  <c r="V102" i="3" s="1"/>
  <c r="V106" i="3" s="1"/>
  <c r="AH12" i="5"/>
  <c r="M55" i="3"/>
  <c r="M97" i="3"/>
  <c r="M172" i="3"/>
  <c r="AK140" i="3"/>
  <c r="AN140" i="3"/>
  <c r="AD128" i="3"/>
  <c r="AC40" i="3"/>
  <c r="P40" i="3"/>
  <c r="D161" i="3"/>
  <c r="AD43" i="5" s="1"/>
  <c r="Q40" i="3"/>
  <c r="Q161" i="3" s="1"/>
  <c r="D90" i="3"/>
  <c r="H75" i="3"/>
  <c r="H223" i="3"/>
  <c r="AF182" i="3"/>
  <c r="AL42" i="5"/>
  <c r="E15" i="1"/>
  <c r="E258" i="3" s="1"/>
  <c r="F10" i="1"/>
  <c r="F13" i="1" s="1"/>
  <c r="E12" i="2"/>
  <c r="E257" i="3"/>
  <c r="AQ98" i="3"/>
  <c r="AJ98" i="3"/>
  <c r="R225" i="3"/>
  <c r="AB225" i="3"/>
  <c r="F160" i="3"/>
  <c r="F89" i="3"/>
  <c r="J176" i="3"/>
  <c r="AJ54" i="5"/>
  <c r="AJ58" i="5" s="1"/>
  <c r="E192" i="1"/>
  <c r="E297" i="3"/>
  <c r="C120" i="2"/>
  <c r="C173" i="2"/>
  <c r="E59" i="3"/>
  <c r="E346" i="3"/>
  <c r="E130" i="3"/>
  <c r="E74" i="3"/>
  <c r="AQ210" i="3"/>
  <c r="AJ210" i="3"/>
  <c r="F51" i="1"/>
  <c r="G45" i="1"/>
  <c r="G49" i="1" s="1"/>
  <c r="F17" i="2"/>
  <c r="CD66" i="2"/>
  <c r="D192" i="2"/>
  <c r="R284" i="1"/>
  <c r="AK9" i="3"/>
  <c r="AN9" i="3"/>
  <c r="AD9" i="3"/>
  <c r="AH68" i="3"/>
  <c r="AH124" i="3"/>
  <c r="AH191" i="3"/>
  <c r="F55" i="3"/>
  <c r="F97" i="3"/>
  <c r="F172" i="3"/>
  <c r="M130" i="3"/>
  <c r="M74" i="3"/>
  <c r="AK50" i="3"/>
  <c r="AN50" i="3"/>
  <c r="AD50" i="3"/>
  <c r="P330" i="3"/>
  <c r="R323" i="3"/>
  <c r="R330" i="3" s="1"/>
  <c r="R202" i="1"/>
  <c r="AD98" i="2"/>
  <c r="AD119" i="2"/>
  <c r="AD174" i="2"/>
  <c r="AD181" i="2" s="1"/>
  <c r="AD208" i="2" s="1"/>
  <c r="D120" i="2"/>
  <c r="D173" i="2"/>
  <c r="R128" i="3"/>
  <c r="BF77" i="2"/>
  <c r="BF95" i="2" s="1"/>
  <c r="BG72" i="2"/>
  <c r="J90" i="3"/>
  <c r="J161" i="3"/>
  <c r="AJ43" i="5" s="1"/>
  <c r="AR34" i="5"/>
  <c r="R98" i="3"/>
  <c r="AB98" i="3"/>
  <c r="R50" i="3"/>
  <c r="O161" i="3"/>
  <c r="AO43" i="5" s="1"/>
  <c r="O90" i="3"/>
  <c r="D21" i="3"/>
  <c r="L362" i="1"/>
  <c r="R392" i="1"/>
  <c r="R23" i="1"/>
  <c r="Q99" i="1"/>
  <c r="R24" i="1"/>
  <c r="R235" i="1"/>
  <c r="G127" i="1"/>
  <c r="G132" i="1" s="1"/>
  <c r="F134" i="1"/>
  <c r="F32" i="2"/>
  <c r="CF32" i="2" s="1"/>
  <c r="F260" i="3"/>
  <c r="F60" i="1"/>
  <c r="F63" i="1" s="1"/>
  <c r="E65" i="1"/>
  <c r="E21" i="3" s="1"/>
  <c r="E19" i="2"/>
  <c r="D29" i="3"/>
  <c r="R406" i="1"/>
  <c r="E460" i="1"/>
  <c r="F452" i="1"/>
  <c r="F458" i="1" s="1"/>
  <c r="E74" i="2"/>
  <c r="E466" i="1"/>
  <c r="E19" i="3"/>
  <c r="E197" i="1"/>
  <c r="E247" i="1" s="1"/>
  <c r="D249" i="1"/>
  <c r="D45" i="2"/>
  <c r="CD44" i="2"/>
  <c r="D177" i="2"/>
  <c r="E191" i="2"/>
  <c r="CE73" i="2"/>
  <c r="AG72" i="2"/>
  <c r="AF77" i="2"/>
  <c r="AF189" i="2"/>
  <c r="AF130" i="2"/>
  <c r="AF141" i="2"/>
  <c r="AF144" i="2" s="1"/>
  <c r="AF149" i="2" s="1"/>
  <c r="AG87" i="2"/>
  <c r="AF92" i="2"/>
  <c r="AF201" i="2" s="1"/>
  <c r="AF203" i="2" s="1"/>
  <c r="AF205" i="2" s="1"/>
  <c r="CF87" i="2"/>
  <c r="R30" i="3"/>
  <c r="R139" i="3" s="1"/>
  <c r="P139" i="3"/>
  <c r="AB139" i="3" s="1"/>
  <c r="AB30" i="3"/>
  <c r="AJ31" i="3"/>
  <c r="AQ31" i="3"/>
  <c r="AC140" i="3"/>
  <c r="AK79" i="3"/>
  <c r="AN79" i="3"/>
  <c r="AD79" i="3"/>
  <c r="AB87" i="3"/>
  <c r="R87" i="3"/>
  <c r="M75" i="3"/>
  <c r="M223" i="3"/>
  <c r="V47" i="3"/>
  <c r="V57" i="3" s="1"/>
  <c r="V61" i="3" s="1"/>
  <c r="G75" i="3"/>
  <c r="G223" i="3"/>
  <c r="L161" i="3"/>
  <c r="AL43" i="5" s="1"/>
  <c r="L90" i="3"/>
  <c r="AV39" i="5"/>
  <c r="AV50" i="5" s="1"/>
  <c r="AV60" i="5" s="1"/>
  <c r="AV64" i="5" s="1"/>
  <c r="R311" i="3"/>
  <c r="AQ87" i="3"/>
  <c r="AJ87" i="3"/>
  <c r="R224" i="3"/>
  <c r="AB224" i="3"/>
  <c r="R269" i="3"/>
  <c r="R308" i="3"/>
  <c r="E483" i="3"/>
  <c r="E410" i="3"/>
  <c r="D258" i="3"/>
  <c r="R337" i="3"/>
  <c r="AK226" i="3"/>
  <c r="AN226" i="3"/>
  <c r="AD226" i="3"/>
  <c r="N160" i="3"/>
  <c r="N89" i="3"/>
  <c r="R338" i="3"/>
  <c r="G160" i="3"/>
  <c r="G89" i="3"/>
  <c r="R287" i="3"/>
  <c r="R335" i="3"/>
  <c r="K90" i="3"/>
  <c r="AB235" i="3"/>
  <c r="R235" i="3"/>
  <c r="G321" i="1"/>
  <c r="G333" i="1" s="1"/>
  <c r="F335" i="1"/>
  <c r="F61" i="2"/>
  <c r="CF61" i="2" s="1"/>
  <c r="AO12" i="5"/>
  <c r="AH70" i="3"/>
  <c r="AH193" i="3"/>
  <c r="AH126" i="3"/>
  <c r="R167" i="1"/>
  <c r="R84" i="1"/>
  <c r="D22" i="3"/>
  <c r="R468" i="1"/>
  <c r="P171" i="1"/>
  <c r="R171" i="1" s="1"/>
  <c r="Q171" i="1"/>
  <c r="Q178" i="1" s="1"/>
  <c r="D284" i="3"/>
  <c r="AF69" i="2"/>
  <c r="AG63" i="2"/>
  <c r="AF186" i="2"/>
  <c r="AF128" i="2"/>
  <c r="F32" i="5"/>
  <c r="AQ88" i="3"/>
  <c r="AJ88" i="3"/>
  <c r="F75" i="3"/>
  <c r="F223" i="3"/>
  <c r="R317" i="3"/>
  <c r="G161" i="3"/>
  <c r="AG43" i="5" s="1"/>
  <c r="G90" i="3"/>
  <c r="AH143" i="3"/>
  <c r="AH157" i="3" s="1"/>
  <c r="AH168" i="3" s="1"/>
  <c r="AH178" i="3" s="1"/>
  <c r="AH182" i="3" s="1"/>
  <c r="Q270" i="1"/>
  <c r="E429" i="1"/>
  <c r="E66" i="2"/>
  <c r="F420" i="1"/>
  <c r="F427" i="1" s="1"/>
  <c r="BE95" i="2"/>
  <c r="AC12" i="3"/>
  <c r="P12" i="3"/>
  <c r="Q12" i="3"/>
  <c r="D75" i="3"/>
  <c r="D223" i="3"/>
  <c r="AB53" i="3"/>
  <c r="R53" i="3"/>
  <c r="R174" i="3" s="1"/>
  <c r="P174" i="3"/>
  <c r="AB174" i="3" s="1"/>
  <c r="N97" i="3"/>
  <c r="N55" i="3"/>
  <c r="N172" i="3"/>
  <c r="G55" i="3"/>
  <c r="G97" i="3"/>
  <c r="G172" i="3"/>
  <c r="AK91" i="3"/>
  <c r="AN91" i="3"/>
  <c r="AD91" i="3"/>
  <c r="AK171" i="3"/>
  <c r="AN171" i="3"/>
  <c r="AD171" i="3"/>
  <c r="R315" i="3"/>
  <c r="D23" i="3"/>
  <c r="E163" i="3"/>
  <c r="AE45" i="5" s="1"/>
  <c r="R166" i="1"/>
  <c r="F137" i="1"/>
  <c r="F144" i="1" s="1"/>
  <c r="E146" i="1"/>
  <c r="E29" i="3" s="1"/>
  <c r="E31" i="2"/>
  <c r="R347" i="1"/>
  <c r="P352" i="1"/>
  <c r="F319" i="1"/>
  <c r="G312" i="1"/>
  <c r="G317" i="1" s="1"/>
  <c r="F60" i="2"/>
  <c r="CF60" i="2" s="1"/>
  <c r="BE26" i="2"/>
  <c r="BE52" i="2" s="1"/>
  <c r="BE98" i="2" s="1"/>
  <c r="BF14" i="2"/>
  <c r="F485" i="1"/>
  <c r="F348" i="3"/>
  <c r="E280" i="1"/>
  <c r="D299" i="1"/>
  <c r="F438" i="1"/>
  <c r="G431" i="1"/>
  <c r="G436" i="1" s="1"/>
  <c r="F73" i="2"/>
  <c r="BG87" i="2"/>
  <c r="BF92" i="2"/>
  <c r="AQ30" i="3"/>
  <c r="AJ30" i="3"/>
  <c r="AC139" i="3"/>
  <c r="AQ132" i="3"/>
  <c r="AJ132" i="3"/>
  <c r="AK31" i="3"/>
  <c r="G404" i="3" s="1"/>
  <c r="AN31" i="3"/>
  <c r="G477" i="3" s="1"/>
  <c r="AD31" i="3"/>
  <c r="O75" i="3"/>
  <c r="O223" i="3"/>
  <c r="Q41" i="3"/>
  <c r="Q162" i="3" s="1"/>
  <c r="D162" i="3"/>
  <c r="AD44" i="5" s="1"/>
  <c r="P41" i="3"/>
  <c r="AC41" i="3"/>
  <c r="AI58" i="5"/>
  <c r="M89" i="3"/>
  <c r="M160" i="3"/>
  <c r="AP9" i="5"/>
  <c r="AJ50" i="3"/>
  <c r="AC55" i="3"/>
  <c r="AQ50" i="3"/>
  <c r="AC171" i="3"/>
  <c r="P210" i="3"/>
  <c r="AH94" i="3"/>
  <c r="AH102" i="3" s="1"/>
  <c r="AH106" i="3" s="1"/>
  <c r="O160" i="3"/>
  <c r="O89" i="3"/>
  <c r="E411" i="3"/>
  <c r="R318" i="3"/>
  <c r="E484" i="3"/>
  <c r="AP43" i="5" l="1"/>
  <c r="AQ43" i="5"/>
  <c r="D166" i="3"/>
  <c r="AD42" i="5"/>
  <c r="AK132" i="3"/>
  <c r="AN132" i="3"/>
  <c r="AD132" i="3"/>
  <c r="AH72" i="2"/>
  <c r="AG130" i="2"/>
  <c r="AG77" i="2"/>
  <c r="AG189" i="2"/>
  <c r="H312" i="1"/>
  <c r="H317" i="1" s="1"/>
  <c r="G319" i="1"/>
  <c r="G60" i="2"/>
  <c r="CG60" i="2" s="1"/>
  <c r="G454" i="3"/>
  <c r="CE12" i="2"/>
  <c r="E114" i="2"/>
  <c r="E168" i="2"/>
  <c r="P89" i="3"/>
  <c r="Q89" i="3"/>
  <c r="AC89" i="3"/>
  <c r="AI42" i="5"/>
  <c r="F99" i="1"/>
  <c r="G77" i="1"/>
  <c r="G97" i="1" s="1"/>
  <c r="F22" i="2"/>
  <c r="CF22" i="2" s="1"/>
  <c r="AR9" i="5"/>
  <c r="AP44" i="5"/>
  <c r="AQ44" i="5"/>
  <c r="AQ139" i="3"/>
  <c r="AJ139" i="3"/>
  <c r="E279" i="1"/>
  <c r="E299" i="1" s="1"/>
  <c r="D504" i="1"/>
  <c r="D506" i="1" s="1"/>
  <c r="D301" i="1"/>
  <c r="D59" i="2"/>
  <c r="F466" i="1"/>
  <c r="F19" i="3"/>
  <c r="AC223" i="3"/>
  <c r="P223" i="3"/>
  <c r="Q223" i="3"/>
  <c r="CE66" i="2"/>
  <c r="AK235" i="3"/>
  <c r="AN235" i="3"/>
  <c r="AD235" i="3"/>
  <c r="D34" i="3"/>
  <c r="D201" i="3"/>
  <c r="D78" i="3"/>
  <c r="D138" i="3"/>
  <c r="AD20" i="5" s="1"/>
  <c r="H127" i="1"/>
  <c r="H132" i="1" s="1"/>
  <c r="G32" i="2"/>
  <c r="CG32" i="2" s="1"/>
  <c r="G134" i="1"/>
  <c r="G261" i="3" s="1"/>
  <c r="G42" i="3" s="1"/>
  <c r="G260" i="3"/>
  <c r="G381" i="3"/>
  <c r="G51" i="1"/>
  <c r="G17" i="3" s="1"/>
  <c r="H45" i="1"/>
  <c r="H49" i="1" s="1"/>
  <c r="G17" i="2"/>
  <c r="E104" i="3"/>
  <c r="E180" i="3"/>
  <c r="AE62" i="5" s="1"/>
  <c r="F363" i="1"/>
  <c r="F366" i="1" s="1"/>
  <c r="E368" i="1"/>
  <c r="E25" i="3" s="1"/>
  <c r="E151" i="3" s="1"/>
  <c r="AE33" i="5" s="1"/>
  <c r="E63" i="2"/>
  <c r="E176" i="3"/>
  <c r="AE54" i="5"/>
  <c r="AE58" i="5" s="1"/>
  <c r="Q160" i="3"/>
  <c r="AJ43" i="3"/>
  <c r="AQ43" i="3"/>
  <c r="AC164" i="3"/>
  <c r="AD12" i="5"/>
  <c r="F149" i="3"/>
  <c r="AF31" i="5" s="1"/>
  <c r="AK42" i="5"/>
  <c r="E473" i="1"/>
  <c r="R216" i="3"/>
  <c r="AB216" i="3"/>
  <c r="AQ99" i="3"/>
  <c r="AJ99" i="3"/>
  <c r="C26" i="2"/>
  <c r="C52" i="2" s="1"/>
  <c r="C98" i="2" s="1"/>
  <c r="CC13" i="2"/>
  <c r="CC26" i="2" s="1"/>
  <c r="CC52" i="2" s="1"/>
  <c r="CC98" i="2" s="1"/>
  <c r="C115" i="2"/>
  <c r="C169" i="2"/>
  <c r="C181" i="2" s="1"/>
  <c r="C208" i="2" s="1"/>
  <c r="AL54" i="5"/>
  <c r="AL58" i="5" s="1"/>
  <c r="L176" i="3"/>
  <c r="F191" i="2"/>
  <c r="CF73" i="2"/>
  <c r="AJ12" i="3"/>
  <c r="AQ12" i="3"/>
  <c r="CD45" i="2"/>
  <c r="D176" i="2"/>
  <c r="AQ212" i="3"/>
  <c r="AJ212" i="3"/>
  <c r="E186" i="1"/>
  <c r="F180" i="1"/>
  <c r="E23" i="2"/>
  <c r="E295" i="3"/>
  <c r="AJ41" i="3"/>
  <c r="AQ41" i="3"/>
  <c r="AC162" i="3"/>
  <c r="AH109" i="3"/>
  <c r="AH184" i="3"/>
  <c r="CD14" i="2"/>
  <c r="D170" i="2"/>
  <c r="D116" i="2"/>
  <c r="AH64" i="2"/>
  <c r="AG129" i="2"/>
  <c r="AG188" i="2"/>
  <c r="AC97" i="3"/>
  <c r="P97" i="3"/>
  <c r="Q97" i="3"/>
  <c r="F261" i="3"/>
  <c r="CF17" i="2"/>
  <c r="F171" i="2"/>
  <c r="F117" i="2"/>
  <c r="D25" i="3"/>
  <c r="F74" i="1"/>
  <c r="F23" i="3" s="1"/>
  <c r="G67" i="1"/>
  <c r="G72" i="1" s="1"/>
  <c r="F21" i="2"/>
  <c r="CF21" i="2" s="1"/>
  <c r="P74" i="3"/>
  <c r="AC74" i="3"/>
  <c r="Q74" i="3"/>
  <c r="AH243" i="3"/>
  <c r="AH245" i="3" s="1"/>
  <c r="AH239" i="3"/>
  <c r="F343" i="1"/>
  <c r="G338" i="1"/>
  <c r="G341" i="1" s="1"/>
  <c r="F62" i="2"/>
  <c r="AB212" i="3"/>
  <c r="R212" i="3"/>
  <c r="F401" i="1"/>
  <c r="F416" i="1" s="1"/>
  <c r="E418" i="1"/>
  <c r="E26" i="3" s="1"/>
  <c r="E67" i="2"/>
  <c r="E131" i="2" s="1"/>
  <c r="N176" i="3"/>
  <c r="AN54" i="5"/>
  <c r="AN58" i="5" s="1"/>
  <c r="AG69" i="2"/>
  <c r="AH63" i="2"/>
  <c r="AG128" i="2"/>
  <c r="AG186" i="2"/>
  <c r="G32" i="5"/>
  <c r="AQ140" i="3"/>
  <c r="AJ140" i="3"/>
  <c r="AG141" i="2"/>
  <c r="CG87" i="2"/>
  <c r="AG92" i="2"/>
  <c r="AG201" i="2" s="1"/>
  <c r="AG203" i="2" s="1"/>
  <c r="AG205" i="2" s="1"/>
  <c r="AH87" i="2"/>
  <c r="F17" i="3"/>
  <c r="AF42" i="5"/>
  <c r="G10" i="1"/>
  <c r="G13" i="1" s="1"/>
  <c r="F15" i="1"/>
  <c r="F12" i="2"/>
  <c r="F257" i="3"/>
  <c r="AD140" i="3"/>
  <c r="R39" i="3"/>
  <c r="AB39" i="3"/>
  <c r="P160" i="3"/>
  <c r="R205" i="3"/>
  <c r="AB205" i="3"/>
  <c r="Q130" i="3"/>
  <c r="AJ42" i="5"/>
  <c r="G163" i="1"/>
  <c r="H148" i="1"/>
  <c r="G37" i="2"/>
  <c r="G276" i="3"/>
  <c r="AQ216" i="3"/>
  <c r="AJ216" i="3"/>
  <c r="R207" i="3"/>
  <c r="AB207" i="3"/>
  <c r="AB99" i="3"/>
  <c r="R99" i="3"/>
  <c r="AB88" i="3"/>
  <c r="R88" i="3"/>
  <c r="CG89" i="2"/>
  <c r="H89" i="2"/>
  <c r="AG14" i="2"/>
  <c r="AF26" i="2"/>
  <c r="H310" i="1"/>
  <c r="H465" i="1" s="1"/>
  <c r="H15" i="2"/>
  <c r="CH15" i="2" s="1"/>
  <c r="I303" i="1"/>
  <c r="I308" i="1" s="1"/>
  <c r="E17" i="1"/>
  <c r="E33" i="1" s="1"/>
  <c r="D35" i="1"/>
  <c r="D13" i="2"/>
  <c r="D272" i="1"/>
  <c r="R51" i="3"/>
  <c r="R172" i="3" s="1"/>
  <c r="AB51" i="3"/>
  <c r="P172" i="3"/>
  <c r="P55" i="3"/>
  <c r="AE48" i="5"/>
  <c r="V109" i="3"/>
  <c r="V184" i="3"/>
  <c r="F460" i="1"/>
  <c r="G452" i="1"/>
  <c r="G458" i="1" s="1"/>
  <c r="F74" i="2"/>
  <c r="AD98" i="3"/>
  <c r="AK98" i="3"/>
  <c r="AN98" i="3"/>
  <c r="G125" i="1"/>
  <c r="H115" i="1"/>
  <c r="H123" i="1" s="1"/>
  <c r="G30" i="2"/>
  <c r="AD54" i="5"/>
  <c r="D176" i="3"/>
  <c r="CD67" i="2"/>
  <c r="D194" i="2"/>
  <c r="F37" i="5"/>
  <c r="F39" i="5" s="1"/>
  <c r="F50" i="5" s="1"/>
  <c r="F60" i="5" s="1"/>
  <c r="F64" i="5" s="1"/>
  <c r="AF32" i="5"/>
  <c r="AG42" i="5"/>
  <c r="AE12" i="5"/>
  <c r="G252" i="1"/>
  <c r="F270" i="1"/>
  <c r="F47" i="2"/>
  <c r="F320" i="3"/>
  <c r="CD63" i="2"/>
  <c r="D186" i="2"/>
  <c r="D128" i="2"/>
  <c r="AB43" i="3"/>
  <c r="P164" i="3"/>
  <c r="AB164" i="3" s="1"/>
  <c r="R43" i="3"/>
  <c r="R164" i="3" s="1"/>
  <c r="CE62" i="2"/>
  <c r="E186" i="2"/>
  <c r="AF109" i="3"/>
  <c r="AF184" i="3"/>
  <c r="E378" i="1"/>
  <c r="E13" i="3" s="1"/>
  <c r="F371" i="1"/>
  <c r="F376" i="1" s="1"/>
  <c r="E64" i="2"/>
  <c r="F197" i="1"/>
  <c r="F247" i="1" s="1"/>
  <c r="E249" i="1"/>
  <c r="E343" i="3" s="1"/>
  <c r="E45" i="2"/>
  <c r="F176" i="3"/>
  <c r="AF54" i="5"/>
  <c r="AF58" i="5" s="1"/>
  <c r="E196" i="3"/>
  <c r="AQ40" i="3"/>
  <c r="AC161" i="3"/>
  <c r="AJ40" i="3"/>
  <c r="BJ40" i="2"/>
  <c r="BK37" i="2"/>
  <c r="H53" i="1"/>
  <c r="H56" i="1" s="1"/>
  <c r="G58" i="1"/>
  <c r="G18" i="2"/>
  <c r="CG18" i="2" s="1"/>
  <c r="AQ46" i="5"/>
  <c r="AP46" i="5"/>
  <c r="AR46" i="5" s="1"/>
  <c r="AB210" i="3"/>
  <c r="R210" i="3"/>
  <c r="P360" i="1"/>
  <c r="R360" i="1" s="1"/>
  <c r="R352" i="1"/>
  <c r="P75" i="3"/>
  <c r="AC75" i="3"/>
  <c r="Q75" i="3"/>
  <c r="AF95" i="2"/>
  <c r="H321" i="1"/>
  <c r="H333" i="1" s="1"/>
  <c r="G335" i="1"/>
  <c r="G61" i="2"/>
  <c r="CG61" i="2" s="1"/>
  <c r="AN42" i="5"/>
  <c r="CE19" i="2"/>
  <c r="E118" i="2"/>
  <c r="E172" i="2"/>
  <c r="AD123" i="2"/>
  <c r="AD151" i="2" s="1"/>
  <c r="G507" i="3"/>
  <c r="AK225" i="3"/>
  <c r="AN225" i="3"/>
  <c r="AD225" i="3"/>
  <c r="E34" i="3"/>
  <c r="E201" i="3"/>
  <c r="E220" i="3" s="1"/>
  <c r="AL88" i="2"/>
  <c r="CK88" i="2"/>
  <c r="I391" i="1"/>
  <c r="I396" i="1" s="1"/>
  <c r="H398" i="1"/>
  <c r="H24" i="3" s="1"/>
  <c r="H149" i="3" s="1"/>
  <c r="AH31" i="5" s="1"/>
  <c r="H65" i="2"/>
  <c r="CH65" i="2" s="1"/>
  <c r="AJ205" i="3"/>
  <c r="AQ205" i="3"/>
  <c r="R11" i="3"/>
  <c r="P130" i="3"/>
  <c r="AB11" i="3"/>
  <c r="AQ207" i="3"/>
  <c r="AJ207" i="3"/>
  <c r="AK37" i="2"/>
  <c r="AJ40" i="2"/>
  <c r="F130" i="2"/>
  <c r="F189" i="2"/>
  <c r="CF72" i="2"/>
  <c r="AQ51" i="3"/>
  <c r="AQ55" i="3" s="1"/>
  <c r="AJ51" i="3"/>
  <c r="AJ55" i="3" s="1"/>
  <c r="AC172" i="3"/>
  <c r="AC176" i="3" s="1"/>
  <c r="E166" i="3"/>
  <c r="CD38" i="2"/>
  <c r="CD40" i="2" s="1"/>
  <c r="D40" i="2"/>
  <c r="E78" i="3"/>
  <c r="E138" i="3"/>
  <c r="AE20" i="5" s="1"/>
  <c r="AM12" i="5"/>
  <c r="CI9" i="2"/>
  <c r="J9" i="2"/>
  <c r="BI9" i="2"/>
  <c r="AI9" i="2"/>
  <c r="I165" i="2"/>
  <c r="I110" i="2"/>
  <c r="G438" i="1"/>
  <c r="H431" i="1"/>
  <c r="H436" i="1" s="1"/>
  <c r="G73" i="2"/>
  <c r="G176" i="3"/>
  <c r="AG54" i="5"/>
  <c r="AG58" i="5" s="1"/>
  <c r="AK224" i="3"/>
  <c r="AN224" i="3"/>
  <c r="AD224" i="3"/>
  <c r="D343" i="3"/>
  <c r="AB40" i="3"/>
  <c r="P161" i="3"/>
  <c r="AB161" i="3" s="1"/>
  <c r="R40" i="3"/>
  <c r="R161" i="3" s="1"/>
  <c r="AH42" i="5"/>
  <c r="AB233" i="3"/>
  <c r="R233" i="3"/>
  <c r="AQ233" i="3"/>
  <c r="AJ233" i="3"/>
  <c r="O176" i="3"/>
  <c r="AO54" i="5"/>
  <c r="AO58" i="5" s="1"/>
  <c r="R41" i="3"/>
  <c r="R162" i="3" s="1"/>
  <c r="AB41" i="3"/>
  <c r="P162" i="3"/>
  <c r="AB162" i="3" s="1"/>
  <c r="F59" i="3"/>
  <c r="F346" i="3"/>
  <c r="F196" i="3" s="1"/>
  <c r="P284" i="3"/>
  <c r="D215" i="3"/>
  <c r="Q284" i="3"/>
  <c r="CD49" i="2"/>
  <c r="BG77" i="2"/>
  <c r="BH72" i="2"/>
  <c r="G434" i="3"/>
  <c r="D131" i="2"/>
  <c r="P90" i="3"/>
  <c r="Q90" i="3"/>
  <c r="AC90" i="3"/>
  <c r="D141" i="2"/>
  <c r="CD90" i="2"/>
  <c r="CD92" i="2" s="1"/>
  <c r="D92" i="2"/>
  <c r="D201" i="2" s="1"/>
  <c r="D203" i="2" s="1"/>
  <c r="E450" i="1"/>
  <c r="F440" i="1"/>
  <c r="E75" i="2"/>
  <c r="CE75" i="2" s="1"/>
  <c r="E340" i="3"/>
  <c r="BI69" i="2"/>
  <c r="BJ59" i="2"/>
  <c r="AQ11" i="3"/>
  <c r="AJ11" i="3"/>
  <c r="AC130" i="3"/>
  <c r="R359" i="1"/>
  <c r="G101" i="1"/>
  <c r="G111" i="1" s="1"/>
  <c r="F113" i="1"/>
  <c r="F24" i="2"/>
  <c r="CF24" i="2" s="1"/>
  <c r="AC123" i="2"/>
  <c r="AC151" i="2" s="1"/>
  <c r="AQ18" i="5"/>
  <c r="AP18" i="5"/>
  <c r="AR18" i="5" s="1"/>
  <c r="AI119" i="2"/>
  <c r="AI174" i="2"/>
  <c r="H381" i="1"/>
  <c r="H386" i="1" s="1"/>
  <c r="G388" i="1"/>
  <c r="G72" i="2"/>
  <c r="G465" i="1"/>
  <c r="AK139" i="3"/>
  <c r="AN139" i="3"/>
  <c r="AD139" i="3"/>
  <c r="R28" i="3"/>
  <c r="R136" i="3" s="1"/>
  <c r="AB28" i="3"/>
  <c r="P136" i="3"/>
  <c r="AB136" i="3" s="1"/>
  <c r="CD64" i="2"/>
  <c r="D129" i="2"/>
  <c r="D188" i="2"/>
  <c r="AO42" i="5"/>
  <c r="F146" i="1"/>
  <c r="G137" i="1"/>
  <c r="G144" i="1" s="1"/>
  <c r="F31" i="2"/>
  <c r="CF31" i="2" s="1"/>
  <c r="AK53" i="3"/>
  <c r="G437" i="3" s="1"/>
  <c r="AN53" i="3"/>
  <c r="G510" i="3" s="1"/>
  <c r="AD53" i="3"/>
  <c r="F66" i="2"/>
  <c r="F429" i="1"/>
  <c r="G420" i="1"/>
  <c r="G427" i="1" s="1"/>
  <c r="AM42" i="5"/>
  <c r="AQ56" i="5"/>
  <c r="F487" i="1"/>
  <c r="G478" i="1"/>
  <c r="F81" i="2"/>
  <c r="F355" i="3"/>
  <c r="D153" i="3"/>
  <c r="AD35" i="5" s="1"/>
  <c r="AJ171" i="3"/>
  <c r="AQ171" i="3"/>
  <c r="AP56" i="5"/>
  <c r="AR56" i="5" s="1"/>
  <c r="BH87" i="2"/>
  <c r="BG92" i="2"/>
  <c r="BG14" i="2"/>
  <c r="BF26" i="2"/>
  <c r="BF52" i="2" s="1"/>
  <c r="BF98" i="2" s="1"/>
  <c r="CE31" i="2"/>
  <c r="CE34" i="2" s="1"/>
  <c r="E34" i="2"/>
  <c r="AK174" i="3"/>
  <c r="AN174" i="3"/>
  <c r="AD174" i="3"/>
  <c r="AB12" i="3"/>
  <c r="R12" i="3"/>
  <c r="AK87" i="3"/>
  <c r="AD87" i="3"/>
  <c r="AN87" i="3"/>
  <c r="AD30" i="3"/>
  <c r="AK30" i="3"/>
  <c r="G403" i="3" s="1"/>
  <c r="AN30" i="3"/>
  <c r="G476" i="3" s="1"/>
  <c r="D49" i="2"/>
  <c r="D121" i="2" s="1"/>
  <c r="CE74" i="2"/>
  <c r="E192" i="2"/>
  <c r="G60" i="1"/>
  <c r="G63" i="1" s="1"/>
  <c r="F65" i="1"/>
  <c r="F21" i="3" s="1"/>
  <c r="F19" i="2"/>
  <c r="R55" i="3"/>
  <c r="R171" i="3"/>
  <c r="E194" i="1"/>
  <c r="F188" i="1"/>
  <c r="E46" i="2"/>
  <c r="CE46" i="2" s="1"/>
  <c r="E301" i="3"/>
  <c r="M176" i="3"/>
  <c r="AM54" i="5"/>
  <c r="AM58" i="5" s="1"/>
  <c r="E500" i="1"/>
  <c r="E357" i="3"/>
  <c r="AJ39" i="3"/>
  <c r="AQ39" i="3"/>
  <c r="AC160" i="3"/>
  <c r="AF30" i="2"/>
  <c r="AF34" i="2" s="1"/>
  <c r="AJ174" i="3"/>
  <c r="AQ174" i="3"/>
  <c r="AK73" i="3"/>
  <c r="AN73" i="3"/>
  <c r="AD73" i="3"/>
  <c r="I37" i="1"/>
  <c r="I41" i="1" s="1"/>
  <c r="H43" i="1"/>
  <c r="H16" i="2"/>
  <c r="CH16" i="2" s="1"/>
  <c r="AQ28" i="3"/>
  <c r="AC136" i="3"/>
  <c r="AJ28" i="3"/>
  <c r="D13" i="3"/>
  <c r="AK32" i="3"/>
  <c r="G405" i="3" s="1"/>
  <c r="AN32" i="3"/>
  <c r="G478" i="3" s="1"/>
  <c r="AD32" i="3"/>
  <c r="E176" i="1"/>
  <c r="E278" i="3"/>
  <c r="E153" i="3" l="1"/>
  <c r="AE35" i="5" s="1"/>
  <c r="F448" i="1"/>
  <c r="F332" i="3"/>
  <c r="G346" i="3"/>
  <c r="G363" i="1"/>
  <c r="G366" i="1" s="1"/>
  <c r="F368" i="1"/>
  <c r="F63" i="2"/>
  <c r="F186" i="2" s="1"/>
  <c r="D220" i="3"/>
  <c r="AJ130" i="3"/>
  <c r="AQ130" i="3"/>
  <c r="G268" i="1"/>
  <c r="G304" i="3"/>
  <c r="CD13" i="2"/>
  <c r="CD26" i="2" s="1"/>
  <c r="CD52" i="2" s="1"/>
  <c r="D115" i="2"/>
  <c r="D169" i="2"/>
  <c r="D26" i="2"/>
  <c r="D52" i="2" s="1"/>
  <c r="D98" i="2" s="1"/>
  <c r="CH87" i="2"/>
  <c r="AI87" i="2"/>
  <c r="AH92" i="2"/>
  <c r="AH201" i="2" s="1"/>
  <c r="AH203" i="2" s="1"/>
  <c r="AH205" i="2" s="1"/>
  <c r="AH141" i="2"/>
  <c r="AH144" i="2" s="1"/>
  <c r="AH149" i="2" s="1"/>
  <c r="F279" i="1"/>
  <c r="F299" i="1" s="1"/>
  <c r="E301" i="1"/>
  <c r="E18" i="3" s="1"/>
  <c r="E147" i="3" s="1"/>
  <c r="AE29" i="5" s="1"/>
  <c r="E504" i="1"/>
  <c r="E506" i="1" s="1"/>
  <c r="E59" i="2"/>
  <c r="AB89" i="3"/>
  <c r="R89" i="3"/>
  <c r="AQ42" i="5"/>
  <c r="AP42" i="5"/>
  <c r="AD48" i="5"/>
  <c r="F192" i="1"/>
  <c r="F297" i="3"/>
  <c r="AK136" i="3"/>
  <c r="AN136" i="3"/>
  <c r="AD136" i="3"/>
  <c r="H101" i="1"/>
  <c r="H111" i="1" s="1"/>
  <c r="G113" i="1"/>
  <c r="G24" i="2"/>
  <c r="CG24" i="2" s="1"/>
  <c r="H335" i="1"/>
  <c r="I321" i="1"/>
  <c r="I333" i="1" s="1"/>
  <c r="H61" i="2"/>
  <c r="CH61" i="2" s="1"/>
  <c r="F378" i="1"/>
  <c r="G371" i="1"/>
  <c r="G376" i="1" s="1"/>
  <c r="F64" i="2"/>
  <c r="CE23" i="2"/>
  <c r="E177" i="2"/>
  <c r="AD216" i="3"/>
  <c r="AK216" i="3"/>
  <c r="AN216" i="3"/>
  <c r="G99" i="1"/>
  <c r="H77" i="1"/>
  <c r="H97" i="1" s="1"/>
  <c r="G22" i="2"/>
  <c r="CG22" i="2" s="1"/>
  <c r="D76" i="3"/>
  <c r="D131" i="3"/>
  <c r="CE77" i="2"/>
  <c r="E120" i="2"/>
  <c r="E173" i="2"/>
  <c r="CF81" i="2"/>
  <c r="CF84" i="2" s="1"/>
  <c r="F84" i="2"/>
  <c r="F138" i="2"/>
  <c r="F200" i="2"/>
  <c r="CF66" i="2"/>
  <c r="G146" i="1"/>
  <c r="H137" i="1"/>
  <c r="H144" i="1" s="1"/>
  <c r="G31" i="2"/>
  <c r="CG31" i="2" s="1"/>
  <c r="AD28" i="3"/>
  <c r="AK28" i="3"/>
  <c r="G400" i="3" s="1"/>
  <c r="AN28" i="3"/>
  <c r="G473" i="3" s="1"/>
  <c r="BI72" i="2"/>
  <c r="BH77" i="2"/>
  <c r="BH95" i="2" s="1"/>
  <c r="AD11" i="3"/>
  <c r="AK11" i="3"/>
  <c r="AN11" i="3"/>
  <c r="I398" i="1"/>
  <c r="J391" i="1"/>
  <c r="J396" i="1" s="1"/>
  <c r="I65" i="2"/>
  <c r="CI65" i="2" s="1"/>
  <c r="AN210" i="3"/>
  <c r="AD210" i="3"/>
  <c r="AK210" i="3"/>
  <c r="E131" i="3"/>
  <c r="E76" i="3"/>
  <c r="E81" i="3" s="1"/>
  <c r="F17" i="1"/>
  <c r="F33" i="1" s="1"/>
  <c r="E35" i="1"/>
  <c r="E16" i="3" s="1"/>
  <c r="E13" i="2"/>
  <c r="E272" i="1"/>
  <c r="R160" i="3"/>
  <c r="H10" i="1"/>
  <c r="H13" i="1" s="1"/>
  <c r="G15" i="1"/>
  <c r="G258" i="3" s="1"/>
  <c r="G12" i="2"/>
  <c r="G257" i="3"/>
  <c r="AG95" i="2"/>
  <c r="AN212" i="3"/>
  <c r="AD212" i="3"/>
  <c r="AK212" i="3"/>
  <c r="R97" i="3"/>
  <c r="AB97" i="3"/>
  <c r="E44" i="2"/>
  <c r="F26" i="3"/>
  <c r="F258" i="3"/>
  <c r="J37" i="1"/>
  <c r="J41" i="1" s="1"/>
  <c r="I43" i="1"/>
  <c r="I16" i="2"/>
  <c r="CI16" i="2" s="1"/>
  <c r="F34" i="2"/>
  <c r="F490" i="1"/>
  <c r="E502" i="1"/>
  <c r="E90" i="2"/>
  <c r="E367" i="3"/>
  <c r="G485" i="1"/>
  <c r="G348" i="3"/>
  <c r="F29" i="3"/>
  <c r="BJ69" i="2"/>
  <c r="BK59" i="2"/>
  <c r="D144" i="2"/>
  <c r="D149" i="2" s="1"/>
  <c r="BG95" i="2"/>
  <c r="AK161" i="3"/>
  <c r="AN161" i="3"/>
  <c r="AD161" i="3"/>
  <c r="D119" i="2"/>
  <c r="D174" i="2"/>
  <c r="AB130" i="3"/>
  <c r="AJ161" i="3"/>
  <c r="AQ161" i="3"/>
  <c r="J303" i="1"/>
  <c r="J308" i="1" s="1"/>
  <c r="I310" i="1"/>
  <c r="I465" i="1" s="1"/>
  <c r="I15" i="2"/>
  <c r="CI15" i="2" s="1"/>
  <c r="AG144" i="2"/>
  <c r="AG149" i="2" s="1"/>
  <c r="CF62" i="2"/>
  <c r="AQ74" i="3"/>
  <c r="AJ74" i="3"/>
  <c r="AQ97" i="3"/>
  <c r="AJ97" i="3"/>
  <c r="F184" i="1"/>
  <c r="F291" i="3"/>
  <c r="F463" i="1"/>
  <c r="F473" i="1" s="1"/>
  <c r="E475" i="1"/>
  <c r="E14" i="2"/>
  <c r="AH77" i="2"/>
  <c r="AH130" i="2"/>
  <c r="AH189" i="2"/>
  <c r="AI72" i="2"/>
  <c r="AR43" i="5"/>
  <c r="E77" i="2"/>
  <c r="I381" i="1"/>
  <c r="I386" i="1" s="1"/>
  <c r="H388" i="1"/>
  <c r="H72" i="2"/>
  <c r="D274" i="1"/>
  <c r="D509" i="1"/>
  <c r="D510" i="1" s="1"/>
  <c r="CF12" i="2"/>
  <c r="F114" i="2"/>
  <c r="F168" i="2"/>
  <c r="I127" i="1"/>
  <c r="I132" i="1" s="1"/>
  <c r="H134" i="1"/>
  <c r="H32" i="2"/>
  <c r="CH32" i="2" s="1"/>
  <c r="H260" i="3"/>
  <c r="G66" i="2"/>
  <c r="G429" i="1"/>
  <c r="H420" i="1"/>
  <c r="H427" i="1" s="1"/>
  <c r="BK40" i="2"/>
  <c r="BL37" i="2"/>
  <c r="CE64" i="2"/>
  <c r="E129" i="2"/>
  <c r="E188" i="2"/>
  <c r="I89" i="2"/>
  <c r="CH89" i="2"/>
  <c r="AB160" i="3"/>
  <c r="D151" i="3"/>
  <c r="AD33" i="5" s="1"/>
  <c r="AQ223" i="3"/>
  <c r="AJ223" i="3"/>
  <c r="R284" i="3"/>
  <c r="AK43" i="3"/>
  <c r="AN43" i="3"/>
  <c r="AD43" i="3"/>
  <c r="D16" i="3"/>
  <c r="AD39" i="3"/>
  <c r="AK39" i="3"/>
  <c r="AN39" i="3"/>
  <c r="AH69" i="2"/>
  <c r="AH95" i="2" s="1"/>
  <c r="AI63" i="2"/>
  <c r="AH128" i="2"/>
  <c r="AH186" i="2"/>
  <c r="H32" i="5"/>
  <c r="CF30" i="2"/>
  <c r="CF34" i="2" s="1"/>
  <c r="R176" i="3"/>
  <c r="P362" i="1"/>
  <c r="R362" i="1" s="1"/>
  <c r="AJ90" i="3"/>
  <c r="AQ90" i="3"/>
  <c r="AK40" i="3"/>
  <c r="G418" i="3" s="1"/>
  <c r="AN40" i="3"/>
  <c r="G491" i="3" s="1"/>
  <c r="AD40" i="3"/>
  <c r="R130" i="3"/>
  <c r="AM88" i="2"/>
  <c r="CL88" i="2"/>
  <c r="AQ75" i="3"/>
  <c r="AJ75" i="3"/>
  <c r="AQ54" i="5"/>
  <c r="AQ58" i="5" s="1"/>
  <c r="AP54" i="5"/>
  <c r="AD58" i="5"/>
  <c r="CF74" i="2"/>
  <c r="F192" i="2"/>
  <c r="AB172" i="3"/>
  <c r="P176" i="3"/>
  <c r="AK88" i="3"/>
  <c r="AN88" i="3"/>
  <c r="AD88" i="3"/>
  <c r="CG37" i="2"/>
  <c r="AK205" i="3"/>
  <c r="AD205" i="3"/>
  <c r="AN205" i="3"/>
  <c r="G343" i="1"/>
  <c r="G22" i="3" s="1"/>
  <c r="H338" i="1"/>
  <c r="H341" i="1" s="1"/>
  <c r="G62" i="2"/>
  <c r="AB74" i="3"/>
  <c r="R74" i="3"/>
  <c r="C123" i="2"/>
  <c r="C151" i="2" s="1"/>
  <c r="AP12" i="5"/>
  <c r="AQ12" i="5"/>
  <c r="AR44" i="5"/>
  <c r="G466" i="1"/>
  <c r="G19" i="3"/>
  <c r="BI87" i="2"/>
  <c r="BH92" i="2"/>
  <c r="AK41" i="3"/>
  <c r="G419" i="3" s="1"/>
  <c r="AN41" i="3"/>
  <c r="G492" i="3" s="1"/>
  <c r="AD41" i="3"/>
  <c r="I53" i="1"/>
  <c r="I56" i="1" s="1"/>
  <c r="H58" i="1"/>
  <c r="H18" i="2"/>
  <c r="CH18" i="2" s="1"/>
  <c r="H125" i="1"/>
  <c r="I115" i="1"/>
  <c r="I123" i="1" s="1"/>
  <c r="H30" i="2"/>
  <c r="AD207" i="3"/>
  <c r="AN207" i="3"/>
  <c r="AK207" i="3"/>
  <c r="H51" i="1"/>
  <c r="I45" i="1"/>
  <c r="I49" i="1" s="1"/>
  <c r="H17" i="2"/>
  <c r="AB223" i="3"/>
  <c r="R223" i="3"/>
  <c r="AF120" i="2"/>
  <c r="AF173" i="2"/>
  <c r="AF181" i="2" s="1"/>
  <c r="AF208" i="2" s="1"/>
  <c r="F104" i="3"/>
  <c r="F180" i="3"/>
  <c r="AF62" i="5" s="1"/>
  <c r="D195" i="3"/>
  <c r="D33" i="3"/>
  <c r="CG73" i="2"/>
  <c r="G191" i="2"/>
  <c r="AJ119" i="2"/>
  <c r="AJ174" i="2"/>
  <c r="AB75" i="3"/>
  <c r="R75" i="3"/>
  <c r="CE45" i="2"/>
  <c r="E176" i="2"/>
  <c r="G460" i="1"/>
  <c r="H452" i="1"/>
  <c r="H458" i="1" s="1"/>
  <c r="G74" i="2"/>
  <c r="AD51" i="3"/>
  <c r="AD55" i="3" s="1"/>
  <c r="AK51" i="3"/>
  <c r="AN51" i="3"/>
  <c r="AB55" i="3"/>
  <c r="H161" i="1"/>
  <c r="H263" i="3"/>
  <c r="F153" i="3"/>
  <c r="AF35" i="5" s="1"/>
  <c r="CE67" i="2"/>
  <c r="E194" i="2"/>
  <c r="F22" i="3"/>
  <c r="AJ162" i="3"/>
  <c r="AQ162" i="3"/>
  <c r="CE63" i="2"/>
  <c r="E128" i="2"/>
  <c r="G163" i="3"/>
  <c r="G45" i="3"/>
  <c r="D69" i="2"/>
  <c r="D95" i="2" s="1"/>
  <c r="CD59" i="2"/>
  <c r="CD69" i="2" s="1"/>
  <c r="CD95" i="2" s="1"/>
  <c r="D185" i="2"/>
  <c r="D196" i="2" s="1"/>
  <c r="D205" i="2" s="1"/>
  <c r="D127" i="2"/>
  <c r="I312" i="1"/>
  <c r="I317" i="1" s="1"/>
  <c r="H319" i="1"/>
  <c r="H60" i="2"/>
  <c r="CH60" i="2" s="1"/>
  <c r="G197" i="1"/>
  <c r="G247" i="1" s="1"/>
  <c r="F249" i="1"/>
  <c r="F45" i="2"/>
  <c r="AH14" i="2"/>
  <c r="AG26" i="2"/>
  <c r="AG52" i="2" s="1"/>
  <c r="AG98" i="2" s="1"/>
  <c r="G401" i="1"/>
  <c r="G416" i="1" s="1"/>
  <c r="F418" i="1"/>
  <c r="F67" i="2"/>
  <c r="H60" i="1"/>
  <c r="H63" i="1" s="1"/>
  <c r="G65" i="1"/>
  <c r="G21" i="3" s="1"/>
  <c r="G19" i="2"/>
  <c r="Q215" i="3"/>
  <c r="P215" i="3"/>
  <c r="AC215" i="3"/>
  <c r="AK164" i="3"/>
  <c r="AN164" i="3"/>
  <c r="AD164" i="3"/>
  <c r="D141" i="3"/>
  <c r="D241" i="3"/>
  <c r="F165" i="1"/>
  <c r="E178" i="1"/>
  <c r="E38" i="2"/>
  <c r="E289" i="3"/>
  <c r="AK12" i="3"/>
  <c r="AN12" i="3"/>
  <c r="AD12" i="3"/>
  <c r="BH14" i="2"/>
  <c r="BG26" i="2"/>
  <c r="BG52" i="2" s="1"/>
  <c r="CG72" i="2"/>
  <c r="G130" i="2"/>
  <c r="G189" i="2"/>
  <c r="CJ9" i="2"/>
  <c r="K9" i="2"/>
  <c r="BJ9" i="2"/>
  <c r="J110" i="2"/>
  <c r="J165" i="2"/>
  <c r="AJ9" i="2"/>
  <c r="AQ136" i="3"/>
  <c r="AJ136" i="3"/>
  <c r="AJ160" i="3"/>
  <c r="AQ160" i="3"/>
  <c r="CF19" i="2"/>
  <c r="F118" i="2"/>
  <c r="F172" i="2"/>
  <c r="R90" i="3"/>
  <c r="AB90" i="3"/>
  <c r="AK162" i="3"/>
  <c r="AN162" i="3"/>
  <c r="AD162" i="3"/>
  <c r="AN233" i="3"/>
  <c r="AD233" i="3"/>
  <c r="AK233" i="3"/>
  <c r="H438" i="1"/>
  <c r="I431" i="1"/>
  <c r="I436" i="1" s="1"/>
  <c r="H73" i="2"/>
  <c r="AJ172" i="3"/>
  <c r="AJ176" i="3" s="1"/>
  <c r="AQ172" i="3"/>
  <c r="AQ176" i="3" s="1"/>
  <c r="AL37" i="2"/>
  <c r="AK40" i="2"/>
  <c r="E141" i="3"/>
  <c r="E241" i="3"/>
  <c r="E33" i="3"/>
  <c r="E195" i="3"/>
  <c r="E198" i="3" s="1"/>
  <c r="CF47" i="2"/>
  <c r="F179" i="2"/>
  <c r="AG30" i="2"/>
  <c r="AG34" i="2" s="1"/>
  <c r="AF52" i="2"/>
  <c r="AF98" i="2" s="1"/>
  <c r="AK99" i="3"/>
  <c r="AN99" i="3"/>
  <c r="AD99" i="3"/>
  <c r="G37" i="5"/>
  <c r="G39" i="5" s="1"/>
  <c r="G50" i="5" s="1"/>
  <c r="G60" i="5" s="1"/>
  <c r="G64" i="5" s="1"/>
  <c r="AG32" i="5"/>
  <c r="G74" i="1"/>
  <c r="G23" i="3" s="1"/>
  <c r="H67" i="1"/>
  <c r="H72" i="1" s="1"/>
  <c r="G21" i="2"/>
  <c r="CG21" i="2" s="1"/>
  <c r="F42" i="3"/>
  <c r="AI64" i="2"/>
  <c r="AH188" i="2"/>
  <c r="AH129" i="2"/>
  <c r="AJ164" i="3"/>
  <c r="AQ164" i="3"/>
  <c r="CG17" i="2"/>
  <c r="G117" i="2"/>
  <c r="G171" i="2"/>
  <c r="D18" i="3"/>
  <c r="AJ89" i="3"/>
  <c r="AQ89" i="3"/>
  <c r="AG45" i="5" l="1"/>
  <c r="AG48" i="5" s="1"/>
  <c r="G166" i="3"/>
  <c r="CH30" i="2"/>
  <c r="CH34" i="2" s="1"/>
  <c r="AH30" i="2"/>
  <c r="AH34" i="2" s="1"/>
  <c r="E116" i="2"/>
  <c r="E170" i="2"/>
  <c r="CE14" i="2"/>
  <c r="E137" i="3"/>
  <c r="AE19" i="5" s="1"/>
  <c r="E92" i="3"/>
  <c r="CG19" i="2"/>
  <c r="G118" i="2"/>
  <c r="G172" i="2"/>
  <c r="AK223" i="3"/>
  <c r="AN223" i="3"/>
  <c r="AD223" i="3"/>
  <c r="D81" i="3"/>
  <c r="F194" i="1"/>
  <c r="G188" i="1"/>
  <c r="F46" i="2"/>
  <c r="CF46" i="2" s="1"/>
  <c r="F301" i="3"/>
  <c r="F25" i="3"/>
  <c r="AN75" i="3"/>
  <c r="AD75" i="3"/>
  <c r="AK75" i="3"/>
  <c r="G417" i="3"/>
  <c r="AK172" i="3"/>
  <c r="AK176" i="3" s="1"/>
  <c r="AN172" i="3"/>
  <c r="AN176" i="3" s="1"/>
  <c r="AD172" i="3"/>
  <c r="AD176" i="3" s="1"/>
  <c r="AB176" i="3"/>
  <c r="I420" i="1"/>
  <c r="I427" i="1" s="1"/>
  <c r="H66" i="2"/>
  <c r="H429" i="1"/>
  <c r="CH73" i="2"/>
  <c r="H191" i="2"/>
  <c r="I438" i="1"/>
  <c r="J431" i="1"/>
  <c r="J436" i="1" s="1"/>
  <c r="I73" i="2"/>
  <c r="CE38" i="2"/>
  <c r="CE40" i="2" s="1"/>
  <c r="E40" i="2"/>
  <c r="CG66" i="2"/>
  <c r="G29" i="3"/>
  <c r="H346" i="3"/>
  <c r="H196" i="3" s="1"/>
  <c r="CF45" i="2"/>
  <c r="F176" i="2"/>
  <c r="I51" i="1"/>
  <c r="J45" i="1"/>
  <c r="J49" i="1" s="1"/>
  <c r="I17" i="2"/>
  <c r="AK74" i="3"/>
  <c r="AN74" i="3"/>
  <c r="AD74" i="3"/>
  <c r="H37" i="5"/>
  <c r="H39" i="5" s="1"/>
  <c r="H50" i="5" s="1"/>
  <c r="H60" i="5" s="1"/>
  <c r="H64" i="5" s="1"/>
  <c r="AH32" i="5"/>
  <c r="BK69" i="2"/>
  <c r="BL59" i="2"/>
  <c r="J398" i="1"/>
  <c r="J24" i="3" s="1"/>
  <c r="J149" i="3" s="1"/>
  <c r="AJ31" i="5" s="1"/>
  <c r="J65" i="2"/>
  <c r="CJ65" i="2" s="1"/>
  <c r="K391" i="1"/>
  <c r="K396" i="1" s="1"/>
  <c r="AR42" i="5"/>
  <c r="CG30" i="2"/>
  <c r="CG34" i="2" s="1"/>
  <c r="AE23" i="5"/>
  <c r="AK9" i="2"/>
  <c r="CK9" i="2"/>
  <c r="L9" i="2"/>
  <c r="BK9" i="2"/>
  <c r="K110" i="2"/>
  <c r="K165" i="2"/>
  <c r="F176" i="1"/>
  <c r="F278" i="3"/>
  <c r="F343" i="3"/>
  <c r="G508" i="3"/>
  <c r="M511" i="3" s="1"/>
  <c r="AN55" i="3"/>
  <c r="H17" i="3"/>
  <c r="BJ87" i="2"/>
  <c r="BI92" i="2"/>
  <c r="AR12" i="5"/>
  <c r="CG62" i="2"/>
  <c r="AR54" i="5"/>
  <c r="AR58" i="5" s="1"/>
  <c r="AP58" i="5"/>
  <c r="D146" i="3"/>
  <c r="D86" i="3"/>
  <c r="BL40" i="2"/>
  <c r="BM37" i="2"/>
  <c r="G180" i="1"/>
  <c r="F186" i="1"/>
  <c r="F23" i="2"/>
  <c r="F44" i="2"/>
  <c r="F295" i="3"/>
  <c r="I24" i="3"/>
  <c r="D123" i="2"/>
  <c r="H401" i="1"/>
  <c r="H416" i="1" s="1"/>
  <c r="G418" i="1"/>
  <c r="G67" i="2"/>
  <c r="I319" i="1"/>
  <c r="J312" i="1"/>
  <c r="J317" i="1" s="1"/>
  <c r="I60" i="2"/>
  <c r="CI60" i="2" s="1"/>
  <c r="I125" i="1"/>
  <c r="J115" i="1"/>
  <c r="J123" i="1" s="1"/>
  <c r="I30" i="2"/>
  <c r="G487" i="1"/>
  <c r="G59" i="3" s="1"/>
  <c r="H478" i="1"/>
  <c r="G81" i="2"/>
  <c r="G355" i="3"/>
  <c r="H146" i="1"/>
  <c r="H29" i="3" s="1"/>
  <c r="I137" i="1"/>
  <c r="I144" i="1" s="1"/>
  <c r="H31" i="2"/>
  <c r="CH31" i="2" s="1"/>
  <c r="CF64" i="2"/>
  <c r="F129" i="2"/>
  <c r="F188" i="2"/>
  <c r="AK90" i="3"/>
  <c r="AN90" i="3"/>
  <c r="AD90" i="3"/>
  <c r="AI14" i="2"/>
  <c r="AH26" i="2"/>
  <c r="AH52" i="2" s="1"/>
  <c r="AH98" i="2" s="1"/>
  <c r="K303" i="1"/>
  <c r="K308" i="1" s="1"/>
  <c r="J310" i="1"/>
  <c r="J465" i="1" s="1"/>
  <c r="Q465" i="1" s="1"/>
  <c r="J15" i="2"/>
  <c r="CJ15" i="2" s="1"/>
  <c r="I10" i="1"/>
  <c r="I13" i="1" s="1"/>
  <c r="H15" i="1"/>
  <c r="H258" i="3" s="1"/>
  <c r="H12" i="2"/>
  <c r="H257" i="3"/>
  <c r="G378" i="1"/>
  <c r="G13" i="3" s="1"/>
  <c r="H371" i="1"/>
  <c r="H376" i="1" s="1"/>
  <c r="G64" i="2"/>
  <c r="H363" i="1"/>
  <c r="H366" i="1" s="1"/>
  <c r="G368" i="1"/>
  <c r="G25" i="3" s="1"/>
  <c r="G151" i="3" s="1"/>
  <c r="AG33" i="5" s="1"/>
  <c r="G63" i="2"/>
  <c r="D147" i="3"/>
  <c r="AD29" i="5" s="1"/>
  <c r="G34" i="2"/>
  <c r="G196" i="3"/>
  <c r="AJ64" i="2"/>
  <c r="AI129" i="2"/>
  <c r="AI188" i="2"/>
  <c r="AG120" i="2"/>
  <c r="AG123" i="2" s="1"/>
  <c r="AG151" i="2" s="1"/>
  <c r="AG173" i="2"/>
  <c r="AG181" i="2" s="1"/>
  <c r="AG208" i="2" s="1"/>
  <c r="D243" i="3"/>
  <c r="D239" i="3"/>
  <c r="D237" i="3" s="1"/>
  <c r="AJ215" i="3"/>
  <c r="AQ215" i="3"/>
  <c r="H197" i="1"/>
  <c r="H247" i="1" s="1"/>
  <c r="G249" i="1"/>
  <c r="G343" i="3" s="1"/>
  <c r="G45" i="2"/>
  <c r="G435" i="3"/>
  <c r="M438" i="3" s="1"/>
  <c r="AK55" i="3"/>
  <c r="I338" i="1"/>
  <c r="I341" i="1" s="1"/>
  <c r="H343" i="1"/>
  <c r="H62" i="2"/>
  <c r="AK160" i="3"/>
  <c r="AN160" i="3"/>
  <c r="AD160" i="3"/>
  <c r="H261" i="3"/>
  <c r="E141" i="2"/>
  <c r="CE90" i="2"/>
  <c r="CE92" i="2" s="1"/>
  <c r="E92" i="2"/>
  <c r="E201" i="2" s="1"/>
  <c r="E203" i="2" s="1"/>
  <c r="F34" i="3"/>
  <c r="F201" i="3"/>
  <c r="E49" i="2"/>
  <c r="E121" i="2" s="1"/>
  <c r="CE44" i="2"/>
  <c r="CE49" i="2" s="1"/>
  <c r="E274" i="1"/>
  <c r="E509" i="1"/>
  <c r="E510" i="1" s="1"/>
  <c r="AE13" i="5"/>
  <c r="AE16" i="5" s="1"/>
  <c r="E134" i="3"/>
  <c r="E143" i="3" s="1"/>
  <c r="I335" i="1"/>
  <c r="I61" i="2"/>
  <c r="CI61" i="2" s="1"/>
  <c r="J321" i="1"/>
  <c r="J333" i="1" s="1"/>
  <c r="CD98" i="2"/>
  <c r="H466" i="1"/>
  <c r="H19" i="3"/>
  <c r="J381" i="1"/>
  <c r="J386" i="1" s="1"/>
  <c r="I388" i="1"/>
  <c r="I72" i="2"/>
  <c r="AK130" i="3"/>
  <c r="AN130" i="3"/>
  <c r="AD130" i="3"/>
  <c r="F120" i="2"/>
  <c r="F173" i="2"/>
  <c r="AF123" i="2"/>
  <c r="AF151" i="2" s="1"/>
  <c r="AN88" i="2"/>
  <c r="CM88" i="2"/>
  <c r="G490" i="3"/>
  <c r="H74" i="1"/>
  <c r="H23" i="3" s="1"/>
  <c r="I67" i="1"/>
  <c r="I72" i="1" s="1"/>
  <c r="H21" i="2"/>
  <c r="CH21" i="2" s="1"/>
  <c r="G463" i="1"/>
  <c r="G473" i="1" s="1"/>
  <c r="F475" i="1"/>
  <c r="F14" i="2"/>
  <c r="BJ72" i="2"/>
  <c r="BI77" i="2"/>
  <c r="BI95" i="2" s="1"/>
  <c r="I101" i="1"/>
  <c r="I111" i="1" s="1"/>
  <c r="H113" i="1"/>
  <c r="H24" i="2"/>
  <c r="CH24" i="2" s="1"/>
  <c r="F301" i="1"/>
  <c r="F18" i="3" s="1"/>
  <c r="F147" i="3" s="1"/>
  <c r="AF29" i="5" s="1"/>
  <c r="G279" i="1"/>
  <c r="G299" i="1" s="1"/>
  <c r="F504" i="1"/>
  <c r="F506" i="1" s="1"/>
  <c r="F59" i="2"/>
  <c r="E243" i="3"/>
  <c r="E245" i="3" s="1"/>
  <c r="E239" i="3"/>
  <c r="E237" i="3" s="1"/>
  <c r="BI14" i="2"/>
  <c r="BH26" i="2"/>
  <c r="BH52" i="2" s="1"/>
  <c r="BH98" i="2" s="1"/>
  <c r="H65" i="1"/>
  <c r="H21" i="3" s="1"/>
  <c r="I60" i="1"/>
  <c r="I63" i="1" s="1"/>
  <c r="H19" i="2"/>
  <c r="D133" i="2"/>
  <c r="D198" i="3"/>
  <c r="AJ72" i="2"/>
  <c r="AI130" i="2"/>
  <c r="AI189" i="2"/>
  <c r="AI77" i="2"/>
  <c r="K37" i="1"/>
  <c r="K41" i="1" s="1"/>
  <c r="J43" i="1"/>
  <c r="J16" i="2"/>
  <c r="CJ16" i="2" s="1"/>
  <c r="E36" i="3"/>
  <c r="E47" i="3" s="1"/>
  <c r="E57" i="3" s="1"/>
  <c r="E61" i="3" s="1"/>
  <c r="F13" i="3"/>
  <c r="D181" i="2"/>
  <c r="D208" i="2" s="1"/>
  <c r="AK119" i="2"/>
  <c r="AK174" i="2"/>
  <c r="AM37" i="2"/>
  <c r="AL40" i="2"/>
  <c r="G456" i="3"/>
  <c r="D245" i="3"/>
  <c r="AD23" i="5"/>
  <c r="R215" i="3"/>
  <c r="AB215" i="3"/>
  <c r="CF67" i="2"/>
  <c r="F194" i="2"/>
  <c r="J53" i="1"/>
  <c r="J56" i="1" s="1"/>
  <c r="I58" i="1"/>
  <c r="I18" i="2"/>
  <c r="CI18" i="2" s="1"/>
  <c r="AI69" i="2"/>
  <c r="AJ63" i="2"/>
  <c r="AI128" i="2"/>
  <c r="AI186" i="2"/>
  <c r="I32" i="5"/>
  <c r="I134" i="1"/>
  <c r="I261" i="3" s="1"/>
  <c r="I42" i="3" s="1"/>
  <c r="J127" i="1"/>
  <c r="J132" i="1" s="1"/>
  <c r="I32" i="2"/>
  <c r="CI32" i="2" s="1"/>
  <c r="I260" i="3"/>
  <c r="CH72" i="2"/>
  <c r="H189" i="2"/>
  <c r="H130" i="2"/>
  <c r="F78" i="3"/>
  <c r="F138" i="3"/>
  <c r="AF20" i="5" s="1"/>
  <c r="AN97" i="3"/>
  <c r="AD97" i="3"/>
  <c r="AK97" i="3"/>
  <c r="CE13" i="2"/>
  <c r="CE26" i="2" s="1"/>
  <c r="E115" i="2"/>
  <c r="E169" i="2"/>
  <c r="E26" i="2"/>
  <c r="E52" i="2" s="1"/>
  <c r="G455" i="3"/>
  <c r="I459" i="3" s="1"/>
  <c r="I496" i="3" s="1"/>
  <c r="K496" i="3" s="1"/>
  <c r="F140" i="2"/>
  <c r="D36" i="3"/>
  <c r="D47" i="3" s="1"/>
  <c r="D57" i="3" s="1"/>
  <c r="D61" i="3" s="1"/>
  <c r="I77" i="1"/>
  <c r="I97" i="1" s="1"/>
  <c r="H99" i="1"/>
  <c r="H22" i="2"/>
  <c r="CH22" i="2" s="1"/>
  <c r="AK89" i="3"/>
  <c r="AN89" i="3"/>
  <c r="AD89" i="3"/>
  <c r="F450" i="1"/>
  <c r="F75" i="2"/>
  <c r="G440" i="1"/>
  <c r="F340" i="3"/>
  <c r="F163" i="3"/>
  <c r="F45" i="3"/>
  <c r="H460" i="1"/>
  <c r="I452" i="1"/>
  <c r="I458" i="1" s="1"/>
  <c r="H74" i="2"/>
  <c r="G17" i="1"/>
  <c r="G33" i="1" s="1"/>
  <c r="F35" i="1"/>
  <c r="F16" i="3" s="1"/>
  <c r="F13" i="2"/>
  <c r="F272" i="1"/>
  <c r="F128" i="2"/>
  <c r="CF63" i="2"/>
  <c r="D137" i="3"/>
  <c r="AD19" i="5" s="1"/>
  <c r="D92" i="3"/>
  <c r="G34" i="3"/>
  <c r="G201" i="3"/>
  <c r="G220" i="3" s="1"/>
  <c r="BG98" i="2"/>
  <c r="H163" i="1"/>
  <c r="I148" i="1"/>
  <c r="H37" i="2"/>
  <c r="H276" i="3"/>
  <c r="CH17" i="2"/>
  <c r="H117" i="2"/>
  <c r="H171" i="2"/>
  <c r="G383" i="3"/>
  <c r="CG74" i="2"/>
  <c r="G192" i="2"/>
  <c r="CI89" i="2"/>
  <c r="J89" i="2"/>
  <c r="F500" i="1"/>
  <c r="F357" i="3"/>
  <c r="CG12" i="2"/>
  <c r="G114" i="2"/>
  <c r="G168" i="2"/>
  <c r="E86" i="3"/>
  <c r="E113" i="3" s="1"/>
  <c r="E115" i="3" s="1"/>
  <c r="E146" i="3"/>
  <c r="G382" i="3"/>
  <c r="I386" i="3" s="1"/>
  <c r="I423" i="3" s="1"/>
  <c r="K423" i="3" s="1"/>
  <c r="AD13" i="5"/>
  <c r="D134" i="3"/>
  <c r="G26" i="3"/>
  <c r="G153" i="3" s="1"/>
  <c r="AG35" i="5" s="1"/>
  <c r="E69" i="2"/>
  <c r="E95" i="2" s="1"/>
  <c r="CE59" i="2"/>
  <c r="CE69" i="2" s="1"/>
  <c r="CE95" i="2" s="1"/>
  <c r="E127" i="2"/>
  <c r="E133" i="2" s="1"/>
  <c r="E185" i="2"/>
  <c r="E196" i="2" s="1"/>
  <c r="CI87" i="2"/>
  <c r="AJ87" i="2"/>
  <c r="AI92" i="2"/>
  <c r="AI201" i="2" s="1"/>
  <c r="AI203" i="2" s="1"/>
  <c r="AI205" i="2" s="1"/>
  <c r="AI141" i="2"/>
  <c r="H252" i="1"/>
  <c r="G270" i="1"/>
  <c r="G47" i="2"/>
  <c r="G320" i="3"/>
  <c r="K43" i="1" l="1"/>
  <c r="L37" i="1"/>
  <c r="L41" i="1" s="1"/>
  <c r="K16" i="2"/>
  <c r="CK16" i="2" s="1"/>
  <c r="F220" i="3"/>
  <c r="CH74" i="2"/>
  <c r="H192" i="2"/>
  <c r="AE25" i="5"/>
  <c r="G33" i="3"/>
  <c r="G195" i="3"/>
  <c r="G198" i="3" s="1"/>
  <c r="H26" i="3"/>
  <c r="J319" i="1"/>
  <c r="K312" i="1"/>
  <c r="K317" i="1" s="1"/>
  <c r="J60" i="2"/>
  <c r="CJ60" i="2" s="1"/>
  <c r="D155" i="3"/>
  <c r="AD28" i="5"/>
  <c r="AL9" i="2"/>
  <c r="CL9" i="2"/>
  <c r="BL9" i="2"/>
  <c r="M9" i="2"/>
  <c r="L110" i="2"/>
  <c r="L165" i="2"/>
  <c r="J420" i="1"/>
  <c r="J427" i="1" s="1"/>
  <c r="I429" i="1"/>
  <c r="I66" i="2"/>
  <c r="D143" i="3"/>
  <c r="G448" i="1"/>
  <c r="G332" i="3"/>
  <c r="J77" i="1"/>
  <c r="J97" i="1" s="1"/>
  <c r="I99" i="1"/>
  <c r="I22" i="2"/>
  <c r="CI22" i="2" s="1"/>
  <c r="AJ69" i="2"/>
  <c r="AK63" i="2"/>
  <c r="AJ186" i="2"/>
  <c r="AJ128" i="2"/>
  <c r="J32" i="5"/>
  <c r="BI26" i="2"/>
  <c r="BI52" i="2" s="1"/>
  <c r="BI98" i="2" s="1"/>
  <c r="BJ14" i="2"/>
  <c r="CI72" i="2"/>
  <c r="I189" i="2"/>
  <c r="I130" i="2"/>
  <c r="H42" i="3"/>
  <c r="H22" i="3"/>
  <c r="G120" i="2"/>
  <c r="G173" i="2"/>
  <c r="G129" i="2"/>
  <c r="CG64" i="2"/>
  <c r="G188" i="2"/>
  <c r="J10" i="1"/>
  <c r="J13" i="1" s="1"/>
  <c r="I15" i="1"/>
  <c r="I258" i="3" s="1"/>
  <c r="I12" i="2"/>
  <c r="I257" i="3"/>
  <c r="CG81" i="2"/>
  <c r="CG84" i="2" s="1"/>
  <c r="G84" i="2"/>
  <c r="G138" i="2"/>
  <c r="G200" i="2"/>
  <c r="I466" i="1"/>
  <c r="I19" i="3"/>
  <c r="E94" i="3"/>
  <c r="E102" i="3" s="1"/>
  <c r="E106" i="3" s="1"/>
  <c r="F33" i="3"/>
  <c r="F195" i="3"/>
  <c r="J51" i="1"/>
  <c r="K45" i="1"/>
  <c r="K49" i="1" s="1"/>
  <c r="J17" i="2"/>
  <c r="G78" i="3"/>
  <c r="G138" i="3"/>
  <c r="AG20" i="5" s="1"/>
  <c r="I346" i="3"/>
  <c r="I196" i="3" s="1"/>
  <c r="D94" i="3"/>
  <c r="D102" i="3" s="1"/>
  <c r="D106" i="3" s="1"/>
  <c r="F69" i="2"/>
  <c r="F127" i="2"/>
  <c r="F133" i="2" s="1"/>
  <c r="CF59" i="2"/>
  <c r="CF69" i="2" s="1"/>
  <c r="F185" i="2"/>
  <c r="F196" i="2" s="1"/>
  <c r="CH12" i="2"/>
  <c r="H114" i="2"/>
  <c r="H168" i="2"/>
  <c r="BL69" i="2"/>
  <c r="BM59" i="2"/>
  <c r="D113" i="3"/>
  <c r="D115" i="3" s="1"/>
  <c r="CI73" i="2"/>
  <c r="I191" i="2"/>
  <c r="I197" i="1"/>
  <c r="I247" i="1" s="1"/>
  <c r="H249" i="1"/>
  <c r="H343" i="3" s="1"/>
  <c r="H45" i="2"/>
  <c r="CF23" i="2"/>
  <c r="F177" i="2"/>
  <c r="CI17" i="2"/>
  <c r="I117" i="2"/>
  <c r="I171" i="2"/>
  <c r="AK87" i="2"/>
  <c r="AJ92" i="2"/>
  <c r="AJ201" i="2" s="1"/>
  <c r="AJ203" i="2" s="1"/>
  <c r="AJ205" i="2" s="1"/>
  <c r="CJ87" i="2"/>
  <c r="AJ141" i="2"/>
  <c r="AJ144" i="2" s="1"/>
  <c r="AJ149" i="2" s="1"/>
  <c r="AD16" i="5"/>
  <c r="AD25" i="5" s="1"/>
  <c r="G141" i="3"/>
  <c r="G241" i="3"/>
  <c r="F274" i="1"/>
  <c r="F509" i="1"/>
  <c r="F510" i="1" s="1"/>
  <c r="CF75" i="2"/>
  <c r="CF77" i="2" s="1"/>
  <c r="F77" i="2"/>
  <c r="F131" i="2"/>
  <c r="D109" i="3"/>
  <c r="AI95" i="2"/>
  <c r="F131" i="3"/>
  <c r="F76" i="3"/>
  <c r="H463" i="1"/>
  <c r="H473" i="1" s="1"/>
  <c r="G475" i="1"/>
  <c r="G14" i="2"/>
  <c r="J335" i="1"/>
  <c r="J61" i="2"/>
  <c r="CJ61" i="2" s="1"/>
  <c r="K321" i="1"/>
  <c r="K333" i="1" s="1"/>
  <c r="E144" i="2"/>
  <c r="E149" i="2" s="1"/>
  <c r="J338" i="1"/>
  <c r="J341" i="1" s="1"/>
  <c r="I343" i="1"/>
  <c r="I22" i="3" s="1"/>
  <c r="I62" i="2"/>
  <c r="AK64" i="2"/>
  <c r="AJ129" i="2"/>
  <c r="AJ188" i="2"/>
  <c r="H378" i="1"/>
  <c r="I371" i="1"/>
  <c r="I376" i="1" s="1"/>
  <c r="H64" i="2"/>
  <c r="H485" i="1"/>
  <c r="H348" i="3"/>
  <c r="CG67" i="2"/>
  <c r="G184" i="1"/>
  <c r="G291" i="3"/>
  <c r="I17" i="3"/>
  <c r="BJ77" i="2"/>
  <c r="BJ95" i="2" s="1"/>
  <c r="BK72" i="2"/>
  <c r="CG63" i="2"/>
  <c r="G128" i="2"/>
  <c r="H268" i="1"/>
  <c r="H304" i="3"/>
  <c r="F141" i="3"/>
  <c r="F241" i="3"/>
  <c r="G186" i="2"/>
  <c r="G192" i="1"/>
  <c r="G297" i="3"/>
  <c r="J452" i="1"/>
  <c r="J458" i="1" s="1"/>
  <c r="I460" i="1"/>
  <c r="I74" i="2"/>
  <c r="I74" i="1"/>
  <c r="J67" i="1"/>
  <c r="J72" i="1" s="1"/>
  <c r="I21" i="2"/>
  <c r="CI21" i="2" s="1"/>
  <c r="H368" i="1"/>
  <c r="H25" i="3" s="1"/>
  <c r="H151" i="3" s="1"/>
  <c r="AH33" i="5" s="1"/>
  <c r="I363" i="1"/>
  <c r="I366" i="1" s="1"/>
  <c r="H63" i="2"/>
  <c r="H186" i="2" s="1"/>
  <c r="K431" i="1"/>
  <c r="K436" i="1" s="1"/>
  <c r="J73" i="2"/>
  <c r="J438" i="1"/>
  <c r="CF13" i="2"/>
  <c r="F115" i="2"/>
  <c r="F169" i="2"/>
  <c r="F26" i="2"/>
  <c r="CE52" i="2"/>
  <c r="CE98" i="2" s="1"/>
  <c r="J134" i="1"/>
  <c r="K127" i="1"/>
  <c r="K132" i="1" s="1"/>
  <c r="J32" i="2"/>
  <c r="CJ32" i="2" s="1"/>
  <c r="J260" i="3"/>
  <c r="AL119" i="2"/>
  <c r="AL174" i="2"/>
  <c r="E109" i="3"/>
  <c r="AK72" i="2"/>
  <c r="AJ189" i="2"/>
  <c r="AJ77" i="2"/>
  <c r="AJ130" i="2"/>
  <c r="K381" i="1"/>
  <c r="K386" i="1" s="1"/>
  <c r="J72" i="2"/>
  <c r="J388" i="1"/>
  <c r="G131" i="3"/>
  <c r="G76" i="3"/>
  <c r="G104" i="3"/>
  <c r="G180" i="3"/>
  <c r="AG62" i="5" s="1"/>
  <c r="K398" i="1"/>
  <c r="L391" i="1"/>
  <c r="L396" i="1" s="1"/>
  <c r="K65" i="2"/>
  <c r="CK65" i="2" s="1"/>
  <c r="AI32" i="5"/>
  <c r="I37" i="5"/>
  <c r="I39" i="5" s="1"/>
  <c r="I50" i="5" s="1"/>
  <c r="I60" i="5" s="1"/>
  <c r="I64" i="5" s="1"/>
  <c r="E157" i="3"/>
  <c r="E168" i="3" s="1"/>
  <c r="E178" i="3" s="1"/>
  <c r="E182" i="3" s="1"/>
  <c r="CG45" i="2"/>
  <c r="G176" i="2"/>
  <c r="I146" i="1"/>
  <c r="I29" i="3" s="1"/>
  <c r="J137" i="1"/>
  <c r="J144" i="1" s="1"/>
  <c r="I31" i="2"/>
  <c r="CI31" i="2" s="1"/>
  <c r="AO88" i="2"/>
  <c r="CO88" i="2" s="1"/>
  <c r="CN88" i="2"/>
  <c r="H78" i="3"/>
  <c r="H138" i="3"/>
  <c r="AH20" i="5" s="1"/>
  <c r="AI144" i="2"/>
  <c r="AI149" i="2" s="1"/>
  <c r="G301" i="1"/>
  <c r="H279" i="1"/>
  <c r="H299" i="1" s="1"/>
  <c r="G59" i="2"/>
  <c r="E205" i="2"/>
  <c r="G490" i="1"/>
  <c r="F502" i="1"/>
  <c r="F90" i="2"/>
  <c r="F367" i="3"/>
  <c r="F86" i="3"/>
  <c r="F113" i="3" s="1"/>
  <c r="F115" i="3" s="1"/>
  <c r="F146" i="3"/>
  <c r="I163" i="3"/>
  <c r="I45" i="3"/>
  <c r="AN37" i="2"/>
  <c r="AM40" i="2"/>
  <c r="J101" i="1"/>
  <c r="J111" i="1" s="1"/>
  <c r="I113" i="1"/>
  <c r="I24" i="2"/>
  <c r="CI24" i="2" s="1"/>
  <c r="K310" i="1"/>
  <c r="K465" i="1" s="1"/>
  <c r="K15" i="2"/>
  <c r="CK15" i="2" s="1"/>
  <c r="L303" i="1"/>
  <c r="L308" i="1" s="1"/>
  <c r="AI30" i="2"/>
  <c r="AI34" i="2" s="1"/>
  <c r="CI30" i="2"/>
  <c r="CI34" i="2" s="1"/>
  <c r="I34" i="2"/>
  <c r="H418" i="1"/>
  <c r="I401" i="1"/>
  <c r="I416" i="1" s="1"/>
  <c r="H67" i="2"/>
  <c r="BK87" i="2"/>
  <c r="BJ92" i="2"/>
  <c r="F178" i="1"/>
  <c r="G165" i="1"/>
  <c r="F38" i="2"/>
  <c r="F289" i="3"/>
  <c r="F151" i="3"/>
  <c r="AF33" i="5" s="1"/>
  <c r="H34" i="2"/>
  <c r="K89" i="2"/>
  <c r="CJ89" i="2"/>
  <c r="I161" i="1"/>
  <c r="I263" i="3"/>
  <c r="AF45" i="5"/>
  <c r="F166" i="3"/>
  <c r="J60" i="1"/>
  <c r="J63" i="1" s="1"/>
  <c r="I65" i="1"/>
  <c r="I19" i="2"/>
  <c r="AI26" i="2"/>
  <c r="AJ14" i="2"/>
  <c r="CF44" i="2"/>
  <c r="CF49" i="2" s="1"/>
  <c r="F49" i="2"/>
  <c r="F121" i="2" s="1"/>
  <c r="CH66" i="2"/>
  <c r="E98" i="2"/>
  <c r="K53" i="1"/>
  <c r="K56" i="1" s="1"/>
  <c r="J58" i="1"/>
  <c r="J18" i="2"/>
  <c r="CJ18" i="2" s="1"/>
  <c r="CF14" i="2"/>
  <c r="F116" i="2"/>
  <c r="F170" i="2"/>
  <c r="CH62" i="2"/>
  <c r="H34" i="3"/>
  <c r="H201" i="3"/>
  <c r="H220" i="3" s="1"/>
  <c r="I149" i="3"/>
  <c r="AI31" i="5" s="1"/>
  <c r="Q24" i="3"/>
  <c r="Q149" i="3" s="1"/>
  <c r="CG47" i="2"/>
  <c r="G179" i="2"/>
  <c r="E155" i="3"/>
  <c r="AE28" i="5"/>
  <c r="AE37" i="5" s="1"/>
  <c r="CH37" i="2"/>
  <c r="G35" i="1"/>
  <c r="H17" i="1"/>
  <c r="H33" i="1" s="1"/>
  <c r="G13" i="2"/>
  <c r="AK215" i="3"/>
  <c r="AN215" i="3"/>
  <c r="AD215" i="3"/>
  <c r="CH19" i="2"/>
  <c r="H118" i="2"/>
  <c r="H172" i="2"/>
  <c r="J125" i="1"/>
  <c r="K115" i="1"/>
  <c r="K123" i="1" s="1"/>
  <c r="J30" i="2"/>
  <c r="D151" i="2"/>
  <c r="BN37" i="2"/>
  <c r="BM40" i="2"/>
  <c r="E119" i="2"/>
  <c r="E174" i="2"/>
  <c r="E181" i="2" s="1"/>
  <c r="E208" i="2" s="1"/>
  <c r="AH120" i="2"/>
  <c r="AH123" i="2" s="1"/>
  <c r="AH151" i="2" s="1"/>
  <c r="AH173" i="2"/>
  <c r="AH181" i="2" s="1"/>
  <c r="AH208" i="2" s="1"/>
  <c r="I21" i="3" l="1"/>
  <c r="M391" i="1"/>
  <c r="M396" i="1" s="1"/>
  <c r="L398" i="1"/>
  <c r="L24" i="3" s="1"/>
  <c r="L149" i="3" s="1"/>
  <c r="AL31" i="5" s="1"/>
  <c r="L65" i="2"/>
  <c r="CL65" i="2" s="1"/>
  <c r="CF26" i="2"/>
  <c r="H33" i="3"/>
  <c r="H137" i="3" s="1"/>
  <c r="AH19" i="5" s="1"/>
  <c r="H195" i="3"/>
  <c r="H198" i="3" s="1"/>
  <c r="F137" i="3"/>
  <c r="AF19" i="5" s="1"/>
  <c r="F92" i="3"/>
  <c r="H92" i="3"/>
  <c r="H163" i="3"/>
  <c r="H45" i="3"/>
  <c r="G81" i="3"/>
  <c r="AK129" i="2"/>
  <c r="AK188" i="2"/>
  <c r="AL64" i="2"/>
  <c r="BN59" i="2"/>
  <c r="BM69" i="2"/>
  <c r="CJ17" i="2"/>
  <c r="J117" i="2"/>
  <c r="J171" i="2"/>
  <c r="K420" i="1"/>
  <c r="K427" i="1" s="1"/>
  <c r="J429" i="1"/>
  <c r="J66" i="2"/>
  <c r="AI120" i="2"/>
  <c r="AI123" i="2" s="1"/>
  <c r="AI151" i="2" s="1"/>
  <c r="AI173" i="2"/>
  <c r="AI181" i="2" s="1"/>
  <c r="AI208" i="2" s="1"/>
  <c r="L381" i="1"/>
  <c r="L386" i="1" s="1"/>
  <c r="K72" i="2"/>
  <c r="K388" i="1"/>
  <c r="G194" i="1"/>
  <c r="H188" i="1"/>
  <c r="G46" i="2"/>
  <c r="CG46" i="2" s="1"/>
  <c r="G301" i="3"/>
  <c r="CH64" i="2"/>
  <c r="H188" i="2"/>
  <c r="H129" i="2"/>
  <c r="F36" i="3"/>
  <c r="F47" i="3" s="1"/>
  <c r="F57" i="3" s="1"/>
  <c r="F61" i="3" s="1"/>
  <c r="L45" i="1"/>
  <c r="L49" i="1" s="1"/>
  <c r="K51" i="1"/>
  <c r="K17" i="2"/>
  <c r="H440" i="1"/>
  <c r="G450" i="1"/>
  <c r="G75" i="2"/>
  <c r="G340" i="3"/>
  <c r="AD37" i="5"/>
  <c r="M303" i="1"/>
  <c r="M308" i="1" s="1"/>
  <c r="L310" i="1"/>
  <c r="L465" i="1" s="1"/>
  <c r="L15" i="2"/>
  <c r="CL15" i="2" s="1"/>
  <c r="CF90" i="2"/>
  <c r="CF92" i="2" s="1"/>
  <c r="CF95" i="2" s="1"/>
  <c r="F141" i="2"/>
  <c r="F92" i="2"/>
  <c r="F201" i="2" s="1"/>
  <c r="F203" i="2" s="1"/>
  <c r="J371" i="1"/>
  <c r="J376" i="1" s="1"/>
  <c r="I378" i="1"/>
  <c r="I13" i="3" s="1"/>
  <c r="I64" i="2"/>
  <c r="F81" i="3"/>
  <c r="F94" i="3" s="1"/>
  <c r="F102" i="3" s="1"/>
  <c r="F106" i="3" s="1"/>
  <c r="J17" i="3"/>
  <c r="CI12" i="2"/>
  <c r="I114" i="2"/>
  <c r="I168" i="2"/>
  <c r="AJ95" i="2"/>
  <c r="G137" i="3"/>
  <c r="AG19" i="5" s="1"/>
  <c r="G92" i="3"/>
  <c r="AQ31" i="5"/>
  <c r="I120" i="2"/>
  <c r="I173" i="2"/>
  <c r="AF23" i="5"/>
  <c r="AL87" i="2"/>
  <c r="AK92" i="2"/>
  <c r="AK201" i="2" s="1"/>
  <c r="AK203" i="2" s="1"/>
  <c r="AK205" i="2" s="1"/>
  <c r="CK87" i="2"/>
  <c r="AK141" i="2"/>
  <c r="AK144" i="2" s="1"/>
  <c r="AK149" i="2" s="1"/>
  <c r="L43" i="1"/>
  <c r="M37" i="1"/>
  <c r="M41" i="1" s="1"/>
  <c r="L16" i="2"/>
  <c r="CL16" i="2" s="1"/>
  <c r="BO37" i="2"/>
  <c r="BO40" i="2" s="1"/>
  <c r="BN40" i="2"/>
  <c r="I279" i="1"/>
  <c r="I299" i="1" s="1"/>
  <c r="H301" i="1"/>
  <c r="H18" i="3" s="1"/>
  <c r="H147" i="3" s="1"/>
  <c r="AH29" i="5" s="1"/>
  <c r="H59" i="2"/>
  <c r="CJ72" i="2"/>
  <c r="J130" i="2"/>
  <c r="J189" i="2"/>
  <c r="H141" i="3"/>
  <c r="H241" i="3"/>
  <c r="CI62" i="2"/>
  <c r="AD39" i="5"/>
  <c r="AD50" i="5" s="1"/>
  <c r="AD60" i="5" s="1"/>
  <c r="AD64" i="5" s="1"/>
  <c r="AJ30" i="2"/>
  <c r="AJ34" i="2" s="1"/>
  <c r="J34" i="2"/>
  <c r="K101" i="1"/>
  <c r="K111" i="1" s="1"/>
  <c r="J113" i="1"/>
  <c r="J24" i="2"/>
  <c r="CJ24" i="2" s="1"/>
  <c r="G18" i="3"/>
  <c r="K125" i="1"/>
  <c r="L115" i="1"/>
  <c r="L123" i="1" s="1"/>
  <c r="K30" i="2"/>
  <c r="CG13" i="2"/>
  <c r="G115" i="2"/>
  <c r="G169" i="2"/>
  <c r="BK92" i="2"/>
  <c r="BL87" i="2"/>
  <c r="K67" i="1"/>
  <c r="K72" i="1" s="1"/>
  <c r="J74" i="1"/>
  <c r="J23" i="3" s="1"/>
  <c r="J21" i="2"/>
  <c r="CJ21" i="2" s="1"/>
  <c r="H270" i="1"/>
  <c r="I252" i="1"/>
  <c r="H47" i="2"/>
  <c r="H320" i="3"/>
  <c r="H180" i="1"/>
  <c r="G186" i="1"/>
  <c r="G23" i="2"/>
  <c r="G44" i="2"/>
  <c r="G295" i="3"/>
  <c r="H13" i="3"/>
  <c r="J343" i="1"/>
  <c r="J22" i="3" s="1"/>
  <c r="K338" i="1"/>
  <c r="K341" i="1" s="1"/>
  <c r="J62" i="2"/>
  <c r="CG14" i="2"/>
  <c r="G116" i="2"/>
  <c r="G170" i="2"/>
  <c r="AF13" i="5"/>
  <c r="F134" i="3"/>
  <c r="F143" i="3" s="1"/>
  <c r="AE39" i="5"/>
  <c r="AE50" i="5" s="1"/>
  <c r="AE60" i="5" s="1"/>
  <c r="AE64" i="5" s="1"/>
  <c r="AE66" i="5" s="1"/>
  <c r="CK89" i="2"/>
  <c r="L89" i="2"/>
  <c r="G176" i="1"/>
  <c r="G278" i="3"/>
  <c r="AI45" i="5"/>
  <c r="AI48" i="5" s="1"/>
  <c r="I166" i="3"/>
  <c r="K24" i="3"/>
  <c r="H487" i="1"/>
  <c r="H59" i="3" s="1"/>
  <c r="I478" i="1"/>
  <c r="H81" i="2"/>
  <c r="H355" i="3"/>
  <c r="H173" i="2"/>
  <c r="H120" i="2"/>
  <c r="AG13" i="5"/>
  <c r="AG16" i="5" s="1"/>
  <c r="G134" i="3"/>
  <c r="G143" i="3" s="1"/>
  <c r="F95" i="2"/>
  <c r="AK69" i="2"/>
  <c r="AL63" i="2"/>
  <c r="AK186" i="2"/>
  <c r="AK128" i="2"/>
  <c r="K32" i="5"/>
  <c r="L53" i="1"/>
  <c r="L56" i="1" s="1"/>
  <c r="K58" i="1"/>
  <c r="K18" i="2"/>
  <c r="CK18" i="2" s="1"/>
  <c r="AF48" i="5"/>
  <c r="H35" i="1"/>
  <c r="I17" i="1"/>
  <c r="I33" i="1" s="1"/>
  <c r="H13" i="2"/>
  <c r="AJ26" i="2"/>
  <c r="AJ52" i="2" s="1"/>
  <c r="AK14" i="2"/>
  <c r="I163" i="1"/>
  <c r="J148" i="1"/>
  <c r="I37" i="2"/>
  <c r="I276" i="3"/>
  <c r="CH67" i="2"/>
  <c r="AM119" i="2"/>
  <c r="AM174" i="2"/>
  <c r="G500" i="1"/>
  <c r="G357" i="3"/>
  <c r="J146" i="1"/>
  <c r="J29" i="3" s="1"/>
  <c r="Q29" i="3" s="1"/>
  <c r="Q138" i="3" s="1"/>
  <c r="K137" i="1"/>
  <c r="K144" i="1" s="1"/>
  <c r="J31" i="2"/>
  <c r="CJ31" i="2" s="1"/>
  <c r="F52" i="2"/>
  <c r="F98" i="2" s="1"/>
  <c r="J346" i="3"/>
  <c r="I23" i="3"/>
  <c r="I153" i="3" s="1"/>
  <c r="AI35" i="5" s="1"/>
  <c r="I34" i="3"/>
  <c r="I201" i="3"/>
  <c r="I220" i="3" s="1"/>
  <c r="Q22" i="3"/>
  <c r="BJ26" i="2"/>
  <c r="BJ52" i="2" s="1"/>
  <c r="BJ98" i="2" s="1"/>
  <c r="BK14" i="2"/>
  <c r="D157" i="3"/>
  <c r="D168" i="3" s="1"/>
  <c r="D178" i="3" s="1"/>
  <c r="D182" i="3" s="1"/>
  <c r="AM9" i="2"/>
  <c r="CM9" i="2"/>
  <c r="N9" i="2"/>
  <c r="BM9" i="2"/>
  <c r="M110" i="2"/>
  <c r="M165" i="2"/>
  <c r="K319" i="1"/>
  <c r="L312" i="1"/>
  <c r="L317" i="1" s="1"/>
  <c r="K60" i="2"/>
  <c r="CK60" i="2" s="1"/>
  <c r="CF38" i="2"/>
  <c r="CF40" i="2" s="1"/>
  <c r="F40" i="2"/>
  <c r="J460" i="1"/>
  <c r="J74" i="2"/>
  <c r="K452" i="1"/>
  <c r="K458" i="1" s="1"/>
  <c r="K335" i="1"/>
  <c r="L321" i="1"/>
  <c r="L333" i="1" s="1"/>
  <c r="K61" i="2"/>
  <c r="CK61" i="2" s="1"/>
  <c r="AG23" i="5"/>
  <c r="K77" i="1"/>
  <c r="K97" i="1" s="1"/>
  <c r="J99" i="1"/>
  <c r="J22" i="2"/>
  <c r="CJ22" i="2" s="1"/>
  <c r="I368" i="1"/>
  <c r="I25" i="3" s="1"/>
  <c r="I151" i="3" s="1"/>
  <c r="AI33" i="5" s="1"/>
  <c r="J363" i="1"/>
  <c r="J366" i="1" s="1"/>
  <c r="I63" i="2"/>
  <c r="I186" i="2" s="1"/>
  <c r="J197" i="1"/>
  <c r="J247" i="1" s="1"/>
  <c r="I249" i="1"/>
  <c r="I343" i="3" s="1"/>
  <c r="I45" i="2"/>
  <c r="G16" i="3"/>
  <c r="AI52" i="2"/>
  <c r="AI98" i="2" s="1"/>
  <c r="J401" i="1"/>
  <c r="J416" i="1" s="1"/>
  <c r="I418" i="1"/>
  <c r="I67" i="2"/>
  <c r="AO37" i="2"/>
  <c r="AO40" i="2" s="1"/>
  <c r="AN40" i="2"/>
  <c r="F155" i="3"/>
  <c r="AF28" i="5"/>
  <c r="AF37" i="5" s="1"/>
  <c r="I138" i="3"/>
  <c r="AI20" i="5" s="1"/>
  <c r="I78" i="3"/>
  <c r="AL72" i="2"/>
  <c r="AK77" i="2"/>
  <c r="AK189" i="2"/>
  <c r="AK130" i="2"/>
  <c r="K134" i="1"/>
  <c r="K261" i="3" s="1"/>
  <c r="K42" i="3" s="1"/>
  <c r="L127" i="1"/>
  <c r="L132" i="1" s="1"/>
  <c r="K32" i="2"/>
  <c r="CK32" i="2" s="1"/>
  <c r="K260" i="3"/>
  <c r="CJ73" i="2"/>
  <c r="J191" i="2"/>
  <c r="CI74" i="2"/>
  <c r="I192" i="2"/>
  <c r="I463" i="1"/>
  <c r="I473" i="1" s="1"/>
  <c r="H475" i="1"/>
  <c r="H14" i="2"/>
  <c r="K10" i="1"/>
  <c r="K13" i="1" s="1"/>
  <c r="J15" i="1"/>
  <c r="J12" i="2"/>
  <c r="J257" i="3"/>
  <c r="J466" i="1"/>
  <c r="Q466" i="1" s="1"/>
  <c r="J19" i="3"/>
  <c r="Q19" i="3" s="1"/>
  <c r="G69" i="2"/>
  <c r="G127" i="2"/>
  <c r="CG59" i="2"/>
  <c r="CG69" i="2" s="1"/>
  <c r="G185" i="2"/>
  <c r="G196" i="2" s="1"/>
  <c r="CH63" i="2"/>
  <c r="H128" i="2"/>
  <c r="J65" i="1"/>
  <c r="J21" i="3" s="1"/>
  <c r="Q21" i="3" s="1"/>
  <c r="K60" i="1"/>
  <c r="K63" i="1" s="1"/>
  <c r="J19" i="2"/>
  <c r="H153" i="3"/>
  <c r="AH35" i="5" s="1"/>
  <c r="CI19" i="2"/>
  <c r="I118" i="2"/>
  <c r="I172" i="2"/>
  <c r="E184" i="3"/>
  <c r="J261" i="3"/>
  <c r="L431" i="1"/>
  <c r="L436" i="1" s="1"/>
  <c r="K438" i="1"/>
  <c r="K73" i="2"/>
  <c r="F243" i="3"/>
  <c r="F245" i="3" s="1"/>
  <c r="F239" i="3"/>
  <c r="F237" i="3" s="1"/>
  <c r="BK77" i="2"/>
  <c r="BK95" i="2" s="1"/>
  <c r="BL72" i="2"/>
  <c r="E123" i="2"/>
  <c r="E151" i="2" s="1"/>
  <c r="G243" i="3"/>
  <c r="G245" i="3" s="1"/>
  <c r="G239" i="3"/>
  <c r="G237" i="3" s="1"/>
  <c r="CH45" i="2"/>
  <c r="H176" i="2"/>
  <c r="F205" i="2"/>
  <c r="F198" i="3"/>
  <c r="G140" i="2"/>
  <c r="AJ32" i="5"/>
  <c r="J37" i="5"/>
  <c r="J39" i="5" s="1"/>
  <c r="J50" i="5" s="1"/>
  <c r="J60" i="5" s="1"/>
  <c r="J64" i="5" s="1"/>
  <c r="I26" i="3"/>
  <c r="CI66" i="2"/>
  <c r="Q32" i="5"/>
  <c r="Q37" i="5" s="1"/>
  <c r="Q39" i="5" s="1"/>
  <c r="Q50" i="5" s="1"/>
  <c r="Q60" i="5" s="1"/>
  <c r="Q64" i="5" s="1"/>
  <c r="K113" i="1" l="1"/>
  <c r="L101" i="1"/>
  <c r="L111" i="1" s="1"/>
  <c r="K24" i="2"/>
  <c r="CK24" i="2" s="1"/>
  <c r="K429" i="1"/>
  <c r="L420" i="1"/>
  <c r="L427" i="1" s="1"/>
  <c r="K66" i="2"/>
  <c r="AD66" i="5"/>
  <c r="D184" i="3"/>
  <c r="CG23" i="2"/>
  <c r="G177" i="2"/>
  <c r="Q25" i="3"/>
  <c r="Q151" i="3" s="1"/>
  <c r="CK72" i="2"/>
  <c r="K130" i="2"/>
  <c r="K189" i="2"/>
  <c r="AN174" i="2"/>
  <c r="AN119" i="2"/>
  <c r="K466" i="1"/>
  <c r="K19" i="3"/>
  <c r="H243" i="3"/>
  <c r="H239" i="3"/>
  <c r="H237" i="3" s="1"/>
  <c r="L388" i="1"/>
  <c r="M381" i="1"/>
  <c r="M386" i="1" s="1"/>
  <c r="L72" i="2"/>
  <c r="M65" i="2"/>
  <c r="CM65" i="2" s="1"/>
  <c r="N391" i="1"/>
  <c r="N396" i="1" s="1"/>
  <c r="M398" i="1"/>
  <c r="M24" i="3" s="1"/>
  <c r="M149" i="3" s="1"/>
  <c r="AM31" i="5" s="1"/>
  <c r="CK73" i="2"/>
  <c r="K191" i="2"/>
  <c r="I475" i="1"/>
  <c r="I14" i="2"/>
  <c r="J463" i="1"/>
  <c r="J473" i="1" s="1"/>
  <c r="AO119" i="2"/>
  <c r="AO174" i="2"/>
  <c r="G86" i="3"/>
  <c r="G146" i="3"/>
  <c r="G36" i="3"/>
  <c r="G47" i="3" s="1"/>
  <c r="G57" i="3" s="1"/>
  <c r="G61" i="3" s="1"/>
  <c r="J26" i="3"/>
  <c r="Q26" i="3" s="1"/>
  <c r="J192" i="2"/>
  <c r="CJ74" i="2"/>
  <c r="AK95" i="2"/>
  <c r="CH81" i="2"/>
  <c r="CH84" i="2" s="1"/>
  <c r="H84" i="2"/>
  <c r="H200" i="2"/>
  <c r="H138" i="2"/>
  <c r="G178" i="1"/>
  <c r="H165" i="1"/>
  <c r="G38" i="2"/>
  <c r="G289" i="3"/>
  <c r="G272" i="1"/>
  <c r="L338" i="1"/>
  <c r="L341" i="1" s="1"/>
  <c r="K343" i="1"/>
  <c r="K62" i="2"/>
  <c r="H184" i="1"/>
  <c r="H291" i="3"/>
  <c r="CJ30" i="2"/>
  <c r="CJ34" i="2" s="1"/>
  <c r="H245" i="3"/>
  <c r="AH23" i="5"/>
  <c r="CI64" i="2"/>
  <c r="I129" i="2"/>
  <c r="I188" i="2"/>
  <c r="N303" i="1"/>
  <c r="N308" i="1" s="1"/>
  <c r="M15" i="2"/>
  <c r="CM15" i="2" s="1"/>
  <c r="M310" i="1"/>
  <c r="M465" i="1" s="1"/>
  <c r="H448" i="1"/>
  <c r="H332" i="3"/>
  <c r="J42" i="3"/>
  <c r="Q261" i="3"/>
  <c r="J368" i="1"/>
  <c r="J25" i="3" s="1"/>
  <c r="J151" i="3" s="1"/>
  <c r="AJ33" i="5" s="1"/>
  <c r="AQ33" i="5" s="1"/>
  <c r="K363" i="1"/>
  <c r="K366" i="1" s="1"/>
  <c r="J63" i="2"/>
  <c r="AK26" i="2"/>
  <c r="AL14" i="2"/>
  <c r="H69" i="2"/>
  <c r="H127" i="2"/>
  <c r="CH59" i="2"/>
  <c r="CH69" i="2" s="1"/>
  <c r="H185" i="2"/>
  <c r="H196" i="2" s="1"/>
  <c r="K460" i="1"/>
  <c r="K74" i="2"/>
  <c r="L452" i="1"/>
  <c r="L458" i="1" s="1"/>
  <c r="BK26" i="2"/>
  <c r="BK52" i="2" s="1"/>
  <c r="BK98" i="2" s="1"/>
  <c r="BL14" i="2"/>
  <c r="AJ98" i="2"/>
  <c r="AL69" i="2"/>
  <c r="AM63" i="2"/>
  <c r="AL186" i="2"/>
  <c r="AL128" i="2"/>
  <c r="L32" i="5"/>
  <c r="CJ62" i="2"/>
  <c r="J186" i="2"/>
  <c r="J120" i="2"/>
  <c r="J173" i="2"/>
  <c r="K346" i="3"/>
  <c r="K196" i="3" s="1"/>
  <c r="M127" i="1"/>
  <c r="M132" i="1" s="1"/>
  <c r="L134" i="1"/>
  <c r="L261" i="3" s="1"/>
  <c r="L42" i="3" s="1"/>
  <c r="L32" i="2"/>
  <c r="CL32" i="2" s="1"/>
  <c r="L260" i="3"/>
  <c r="CI67" i="2"/>
  <c r="CI45" i="2"/>
  <c r="I176" i="2"/>
  <c r="L77" i="1"/>
  <c r="L97" i="1" s="1"/>
  <c r="K99" i="1"/>
  <c r="K22" i="2"/>
  <c r="CK22" i="2" s="1"/>
  <c r="K146" i="1"/>
  <c r="K29" i="3" s="1"/>
  <c r="L137" i="1"/>
  <c r="L144" i="1" s="1"/>
  <c r="K31" i="2"/>
  <c r="CK31" i="2" s="1"/>
  <c r="I485" i="1"/>
  <c r="I348" i="3"/>
  <c r="L67" i="1"/>
  <c r="L72" i="1" s="1"/>
  <c r="K74" i="1"/>
  <c r="K23" i="3" s="1"/>
  <c r="K21" i="2"/>
  <c r="CK21" i="2" s="1"/>
  <c r="G26" i="2"/>
  <c r="AJ173" i="2"/>
  <c r="AJ181" i="2" s="1"/>
  <c r="AJ208" i="2" s="1"/>
  <c r="AJ120" i="2"/>
  <c r="I301" i="1"/>
  <c r="J279" i="1"/>
  <c r="J299" i="1" s="1"/>
  <c r="I59" i="2"/>
  <c r="I76" i="3"/>
  <c r="I81" i="3" s="1"/>
  <c r="I131" i="3"/>
  <c r="CK17" i="2"/>
  <c r="K117" i="2"/>
  <c r="K171" i="2"/>
  <c r="J258" i="3"/>
  <c r="M321" i="1"/>
  <c r="M333" i="1" s="1"/>
  <c r="L61" i="2"/>
  <c r="CL61" i="2" s="1"/>
  <c r="L335" i="1"/>
  <c r="F109" i="3"/>
  <c r="F184" i="3"/>
  <c r="AQ32" i="5"/>
  <c r="M312" i="1"/>
  <c r="M317" i="1" s="1"/>
  <c r="L319" i="1"/>
  <c r="L60" i="2"/>
  <c r="CL60" i="2" s="1"/>
  <c r="M431" i="1"/>
  <c r="M436" i="1" s="1"/>
  <c r="L73" i="2"/>
  <c r="L438" i="1"/>
  <c r="Q23" i="3"/>
  <c r="F157" i="3"/>
  <c r="F168" i="3" s="1"/>
  <c r="F178" i="3" s="1"/>
  <c r="F182" i="3" s="1"/>
  <c r="AM87" i="2"/>
  <c r="AL92" i="2"/>
  <c r="AL201" i="2" s="1"/>
  <c r="AL203" i="2" s="1"/>
  <c r="AL205" i="2" s="1"/>
  <c r="CL87" i="2"/>
  <c r="AL141" i="2"/>
  <c r="AL144" i="2" s="1"/>
  <c r="AL149" i="2" s="1"/>
  <c r="J378" i="1"/>
  <c r="K371" i="1"/>
  <c r="K376" i="1" s="1"/>
  <c r="J64" i="2"/>
  <c r="K17" i="3"/>
  <c r="BO59" i="2"/>
  <c r="BO69" i="2" s="1"/>
  <c r="BN69" i="2"/>
  <c r="K65" i="1"/>
  <c r="K21" i="3" s="1"/>
  <c r="L60" i="1"/>
  <c r="L63" i="1" s="1"/>
  <c r="K19" i="2"/>
  <c r="I241" i="3"/>
  <c r="I141" i="3"/>
  <c r="CG44" i="2"/>
  <c r="CG49" i="2" s="1"/>
  <c r="G49" i="2"/>
  <c r="G121" i="2" s="1"/>
  <c r="BL92" i="2"/>
  <c r="BM87" i="2"/>
  <c r="CH14" i="2"/>
  <c r="H116" i="2"/>
  <c r="H170" i="2"/>
  <c r="AP119" i="2"/>
  <c r="L125" i="1"/>
  <c r="M115" i="1"/>
  <c r="M123" i="1" s="1"/>
  <c r="L30" i="2"/>
  <c r="CG75" i="2"/>
  <c r="CG77" i="2" s="1"/>
  <c r="G77" i="2"/>
  <c r="G131" i="2"/>
  <c r="G133" i="2" s="1"/>
  <c r="G194" i="2"/>
  <c r="K163" i="3"/>
  <c r="K45" i="3"/>
  <c r="I33" i="3"/>
  <c r="I195" i="3"/>
  <c r="F174" i="2"/>
  <c r="F181" i="2" s="1"/>
  <c r="F208" i="2" s="1"/>
  <c r="F119" i="2"/>
  <c r="J138" i="3"/>
  <c r="AJ20" i="5" s="1"/>
  <c r="J78" i="3"/>
  <c r="Q78" i="3" s="1"/>
  <c r="CH13" i="2"/>
  <c r="H115" i="2"/>
  <c r="H169" i="2"/>
  <c r="H180" i="3"/>
  <c r="AH62" i="5" s="1"/>
  <c r="H104" i="3"/>
  <c r="CL89" i="2"/>
  <c r="M89" i="2"/>
  <c r="G147" i="3"/>
  <c r="AG29" i="5" s="1"/>
  <c r="J153" i="3"/>
  <c r="AJ35" i="5" s="1"/>
  <c r="AQ35" i="5" s="1"/>
  <c r="Q17" i="3"/>
  <c r="CJ12" i="2"/>
  <c r="J114" i="2"/>
  <c r="J168" i="2"/>
  <c r="K401" i="1"/>
  <c r="K416" i="1" s="1"/>
  <c r="J418" i="1"/>
  <c r="J67" i="2"/>
  <c r="K197" i="1"/>
  <c r="K247" i="1" s="1"/>
  <c r="J249" i="1"/>
  <c r="J343" i="3" s="1"/>
  <c r="J45" i="2"/>
  <c r="BN9" i="2"/>
  <c r="AN9" i="2"/>
  <c r="O9" i="2"/>
  <c r="CN9" i="2"/>
  <c r="N110" i="2"/>
  <c r="N165" i="2"/>
  <c r="CI37" i="2"/>
  <c r="I35" i="1"/>
  <c r="J17" i="1"/>
  <c r="J33" i="1" s="1"/>
  <c r="I13" i="2"/>
  <c r="L58" i="1"/>
  <c r="M53" i="1"/>
  <c r="M56" i="1" s="1"/>
  <c r="L18" i="2"/>
  <c r="CL18" i="2" s="1"/>
  <c r="AG25" i="5"/>
  <c r="AF16" i="5"/>
  <c r="AF25" i="5" s="1"/>
  <c r="AF39" i="5" s="1"/>
  <c r="AF50" i="5" s="1"/>
  <c r="AF60" i="5" s="1"/>
  <c r="AF64" i="5" s="1"/>
  <c r="H76" i="3"/>
  <c r="H131" i="3"/>
  <c r="H36" i="3"/>
  <c r="H47" i="3" s="1"/>
  <c r="H57" i="3" s="1"/>
  <c r="H61" i="3" s="1"/>
  <c r="CH47" i="2"/>
  <c r="H179" i="2"/>
  <c r="M45" i="1"/>
  <c r="M49" i="1" s="1"/>
  <c r="L51" i="1"/>
  <c r="L17" i="3" s="1"/>
  <c r="L17" i="2"/>
  <c r="H192" i="1"/>
  <c r="H297" i="3"/>
  <c r="CJ66" i="2"/>
  <c r="AL129" i="2"/>
  <c r="AM64" i="2"/>
  <c r="AL188" i="2"/>
  <c r="AH45" i="5"/>
  <c r="H166" i="3"/>
  <c r="AK30" i="2"/>
  <c r="AK34" i="2" s="1"/>
  <c r="K34" i="2"/>
  <c r="M43" i="1"/>
  <c r="N37" i="1"/>
  <c r="N41" i="1" s="1"/>
  <c r="M16" i="2"/>
  <c r="CM16" i="2" s="1"/>
  <c r="K15" i="1"/>
  <c r="K258" i="3" s="1"/>
  <c r="K12" i="2"/>
  <c r="K257" i="3"/>
  <c r="L10" i="1"/>
  <c r="L13" i="1" s="1"/>
  <c r="AL77" i="2"/>
  <c r="AM72" i="2"/>
  <c r="AL130" i="2"/>
  <c r="AL189" i="2"/>
  <c r="BL77" i="2"/>
  <c r="BL95" i="2" s="1"/>
  <c r="BM72" i="2"/>
  <c r="CJ19" i="2"/>
  <c r="J172" i="2"/>
  <c r="J118" i="2"/>
  <c r="AQ20" i="5"/>
  <c r="CI63" i="2"/>
  <c r="I128" i="2"/>
  <c r="J196" i="3"/>
  <c r="Q346" i="3"/>
  <c r="H490" i="1"/>
  <c r="G502" i="1"/>
  <c r="G90" i="2"/>
  <c r="G367" i="3"/>
  <c r="G504" i="1"/>
  <c r="G506" i="1" s="1"/>
  <c r="J161" i="1"/>
  <c r="J263" i="3"/>
  <c r="H16" i="3"/>
  <c r="AK32" i="5"/>
  <c r="K37" i="5"/>
  <c r="K39" i="5" s="1"/>
  <c r="K50" i="5" s="1"/>
  <c r="K60" i="5" s="1"/>
  <c r="K64" i="5" s="1"/>
  <c r="K149" i="3"/>
  <c r="AK31" i="5" s="1"/>
  <c r="AC24" i="3"/>
  <c r="I268" i="1"/>
  <c r="I304" i="3"/>
  <c r="CG26" i="2"/>
  <c r="F144" i="2"/>
  <c r="F149" i="2" s="1"/>
  <c r="CF52" i="2"/>
  <c r="CF98" i="2" s="1"/>
  <c r="Q33" i="3" l="1"/>
  <c r="Q137" i="3" s="1"/>
  <c r="M60" i="1"/>
  <c r="M63" i="1" s="1"/>
  <c r="L65" i="1"/>
  <c r="L21" i="3" s="1"/>
  <c r="AC21" i="3" s="1"/>
  <c r="L19" i="2"/>
  <c r="CI59" i="2"/>
  <c r="CI69" i="2" s="1"/>
  <c r="I69" i="2"/>
  <c r="I127" i="2"/>
  <c r="I185" i="2"/>
  <c r="I196" i="2" s="1"/>
  <c r="J301" i="1"/>
  <c r="J18" i="3" s="1"/>
  <c r="J147" i="3" s="1"/>
  <c r="AJ29" i="5" s="1"/>
  <c r="K279" i="1"/>
  <c r="K299" i="1" s="1"/>
  <c r="J59" i="2"/>
  <c r="K26" i="3"/>
  <c r="K153" i="3" s="1"/>
  <c r="AK35" i="5" s="1"/>
  <c r="G155" i="3"/>
  <c r="G157" i="3" s="1"/>
  <c r="G168" i="3" s="1"/>
  <c r="G178" i="3" s="1"/>
  <c r="G182" i="3" s="1"/>
  <c r="AG28" i="5"/>
  <c r="CJ45" i="2"/>
  <c r="J176" i="2"/>
  <c r="J34" i="3"/>
  <c r="J201" i="3"/>
  <c r="Q258" i="3"/>
  <c r="I18" i="3"/>
  <c r="Q301" i="1"/>
  <c r="M134" i="1"/>
  <c r="M261" i="3" s="1"/>
  <c r="M42" i="3" s="1"/>
  <c r="N127" i="1"/>
  <c r="N132" i="1" s="1"/>
  <c r="M32" i="2"/>
  <c r="CM32" i="2" s="1"/>
  <c r="M260" i="3"/>
  <c r="BL26" i="2"/>
  <c r="BL52" i="2" s="1"/>
  <c r="BL98" i="2" s="1"/>
  <c r="BM14" i="2"/>
  <c r="O303" i="1"/>
  <c r="O308" i="1" s="1"/>
  <c r="N310" i="1"/>
  <c r="N465" i="1" s="1"/>
  <c r="N15" i="2"/>
  <c r="CN15" i="2" s="1"/>
  <c r="H176" i="1"/>
  <c r="H278" i="3"/>
  <c r="G113" i="3"/>
  <c r="G115" i="3" s="1"/>
  <c r="N381" i="1"/>
  <c r="N386" i="1" s="1"/>
  <c r="M388" i="1"/>
  <c r="M72" i="2"/>
  <c r="N321" i="1"/>
  <c r="N333" i="1" s="1"/>
  <c r="M335" i="1"/>
  <c r="M61" i="2"/>
  <c r="CM61" i="2" s="1"/>
  <c r="AL95" i="2"/>
  <c r="N45" i="1"/>
  <c r="N49" i="1" s="1"/>
  <c r="M51" i="1"/>
  <c r="M17" i="3" s="1"/>
  <c r="M17" i="2"/>
  <c r="I16" i="3"/>
  <c r="BN87" i="2"/>
  <c r="BM92" i="2"/>
  <c r="N312" i="1"/>
  <c r="N317" i="1" s="1"/>
  <c r="M319" i="1"/>
  <c r="M60" i="2"/>
  <c r="CM60" i="2" s="1"/>
  <c r="M67" i="1"/>
  <c r="M72" i="1" s="1"/>
  <c r="L74" i="1"/>
  <c r="L23" i="3" s="1"/>
  <c r="AC23" i="3" s="1"/>
  <c r="L21" i="2"/>
  <c r="CL21" i="2" s="1"/>
  <c r="L113" i="1"/>
  <c r="M101" i="1"/>
  <c r="M111" i="1" s="1"/>
  <c r="L24" i="2"/>
  <c r="CL24" i="2" s="1"/>
  <c r="K120" i="2"/>
  <c r="K173" i="2"/>
  <c r="M77" i="1"/>
  <c r="M97" i="1" s="1"/>
  <c r="L99" i="1"/>
  <c r="L22" i="2"/>
  <c r="CL22" i="2" s="1"/>
  <c r="CK30" i="2"/>
  <c r="CK34" i="2" s="1"/>
  <c r="J195" i="3"/>
  <c r="J198" i="3" s="1"/>
  <c r="J33" i="3"/>
  <c r="J137" i="3" s="1"/>
  <c r="AJ19" i="5" s="1"/>
  <c r="F123" i="2"/>
  <c r="F151" i="2" s="1"/>
  <c r="I487" i="1"/>
  <c r="I59" i="3" s="1"/>
  <c r="J478" i="1"/>
  <c r="I81" i="2"/>
  <c r="I355" i="3"/>
  <c r="I180" i="1"/>
  <c r="H186" i="1"/>
  <c r="H23" i="2"/>
  <c r="H44" i="2"/>
  <c r="H295" i="3"/>
  <c r="Q343" i="3"/>
  <c r="L466" i="1"/>
  <c r="L19" i="3"/>
  <c r="AC19" i="3" s="1"/>
  <c r="L363" i="1"/>
  <c r="L366" i="1" s="1"/>
  <c r="K368" i="1"/>
  <c r="K25" i="3" s="1"/>
  <c r="K63" i="2"/>
  <c r="CG52" i="2"/>
  <c r="CG98" i="2" s="1"/>
  <c r="AN64" i="2"/>
  <c r="AM129" i="2"/>
  <c r="AM188" i="2"/>
  <c r="AK45" i="5"/>
  <c r="AK48" i="5" s="1"/>
  <c r="K166" i="3"/>
  <c r="L163" i="3"/>
  <c r="L45" i="3"/>
  <c r="CL72" i="2"/>
  <c r="L130" i="2"/>
  <c r="L189" i="2"/>
  <c r="K114" i="2"/>
  <c r="CK12" i="2"/>
  <c r="K168" i="2"/>
  <c r="K249" i="1"/>
  <c r="K343" i="3" s="1"/>
  <c r="L197" i="1"/>
  <c r="L247" i="1" s="1"/>
  <c r="K45" i="2"/>
  <c r="L346" i="3"/>
  <c r="L196" i="3" s="1"/>
  <c r="AJ123" i="2"/>
  <c r="AJ151" i="2" s="1"/>
  <c r="M452" i="1"/>
  <c r="M458" i="1" s="1"/>
  <c r="L460" i="1"/>
  <c r="L74" i="2"/>
  <c r="J92" i="3"/>
  <c r="J163" i="3"/>
  <c r="J45" i="3"/>
  <c r="Q42" i="3"/>
  <c r="AC42" i="3"/>
  <c r="CK62" i="2"/>
  <c r="K186" i="2"/>
  <c r="H140" i="2"/>
  <c r="H86" i="3"/>
  <c r="H113" i="3" s="1"/>
  <c r="H115" i="3" s="1"/>
  <c r="H146" i="3"/>
  <c r="K34" i="3"/>
  <c r="K201" i="3"/>
  <c r="K220" i="3" s="1"/>
  <c r="H81" i="3"/>
  <c r="H94" i="3" s="1"/>
  <c r="H102" i="3" s="1"/>
  <c r="H106" i="3" s="1"/>
  <c r="H109" i="3" s="1"/>
  <c r="CJ67" i="2"/>
  <c r="I198" i="3"/>
  <c r="Q195" i="3"/>
  <c r="Q198" i="3" s="1"/>
  <c r="AI23" i="5"/>
  <c r="I245" i="3"/>
  <c r="AN87" i="2"/>
  <c r="AM92" i="2"/>
  <c r="AM201" i="2" s="1"/>
  <c r="AM203" i="2" s="1"/>
  <c r="AM205" i="2" s="1"/>
  <c r="AM141" i="2"/>
  <c r="AM144" i="2" s="1"/>
  <c r="AM149" i="2" s="1"/>
  <c r="CM87" i="2"/>
  <c r="CL73" i="2"/>
  <c r="L191" i="2"/>
  <c r="CK74" i="2"/>
  <c r="K192" i="2"/>
  <c r="AK52" i="2"/>
  <c r="AK98" i="2" s="1"/>
  <c r="K22" i="3"/>
  <c r="J475" i="1"/>
  <c r="J14" i="2"/>
  <c r="K463" i="1"/>
  <c r="K473" i="1" s="1"/>
  <c r="CK66" i="2"/>
  <c r="BN72" i="2"/>
  <c r="BM77" i="2"/>
  <c r="L15" i="1"/>
  <c r="L258" i="3" s="1"/>
  <c r="L12" i="2"/>
  <c r="L257" i="3"/>
  <c r="M10" i="1"/>
  <c r="M13" i="1" s="1"/>
  <c r="CG38" i="2"/>
  <c r="CG40" i="2" s="1"/>
  <c r="G40" i="2"/>
  <c r="CG90" i="2"/>
  <c r="CG92" i="2" s="1"/>
  <c r="CG95" i="2" s="1"/>
  <c r="G141" i="2"/>
  <c r="G144" i="2" s="1"/>
  <c r="G149" i="2" s="1"/>
  <c r="G92" i="2"/>
  <c r="G201" i="2" s="1"/>
  <c r="G203" i="2" s="1"/>
  <c r="G205" i="2" s="1"/>
  <c r="I270" i="1"/>
  <c r="J252" i="1"/>
  <c r="I47" i="2"/>
  <c r="I320" i="3"/>
  <c r="H500" i="1"/>
  <c r="H357" i="3"/>
  <c r="AK173" i="2"/>
  <c r="AK181" i="2" s="1"/>
  <c r="AK208" i="2" s="1"/>
  <c r="AK120" i="2"/>
  <c r="AK123" i="2" s="1"/>
  <c r="AK151" i="2" s="1"/>
  <c r="AH13" i="5"/>
  <c r="H134" i="3"/>
  <c r="H143" i="3" s="1"/>
  <c r="M58" i="1"/>
  <c r="N53" i="1"/>
  <c r="N56" i="1" s="1"/>
  <c r="M18" i="2"/>
  <c r="CM18" i="2" s="1"/>
  <c r="AI13" i="5"/>
  <c r="AI16" i="5" s="1"/>
  <c r="I134" i="3"/>
  <c r="I143" i="3" s="1"/>
  <c r="AL32" i="5"/>
  <c r="L37" i="5"/>
  <c r="L39" i="5" s="1"/>
  <c r="L50" i="5" s="1"/>
  <c r="L60" i="5" s="1"/>
  <c r="L64" i="5" s="1"/>
  <c r="AM14" i="2"/>
  <c r="AL26" i="2"/>
  <c r="O391" i="1"/>
  <c r="O396" i="1" s="1"/>
  <c r="N398" i="1"/>
  <c r="N24" i="3" s="1"/>
  <c r="N149" i="3" s="1"/>
  <c r="AN31" i="5" s="1"/>
  <c r="N65" i="2"/>
  <c r="CN65" i="2" s="1"/>
  <c r="AJ24" i="3"/>
  <c r="AQ24" i="3"/>
  <c r="AC149" i="3"/>
  <c r="H194" i="1"/>
  <c r="I188" i="1"/>
  <c r="H46" i="2"/>
  <c r="CH46" i="2" s="1"/>
  <c r="H301" i="3"/>
  <c r="Q153" i="3"/>
  <c r="CM89" i="2"/>
  <c r="N89" i="2"/>
  <c r="I137" i="3"/>
  <c r="AI19" i="5" s="1"/>
  <c r="I92" i="3"/>
  <c r="AL30" i="2"/>
  <c r="AL34" i="2" s="1"/>
  <c r="I239" i="3"/>
  <c r="I237" i="3" s="1"/>
  <c r="I243" i="3"/>
  <c r="CJ64" i="2"/>
  <c r="J129" i="2"/>
  <c r="J188" i="2"/>
  <c r="N431" i="1"/>
  <c r="N436" i="1" s="1"/>
  <c r="M73" i="2"/>
  <c r="M438" i="1"/>
  <c r="G52" i="2"/>
  <c r="L146" i="1"/>
  <c r="M137" i="1"/>
  <c r="M144" i="1" s="1"/>
  <c r="L31" i="2"/>
  <c r="CL31" i="2" s="1"/>
  <c r="M338" i="1"/>
  <c r="M341" i="1" s="1"/>
  <c r="L62" i="2"/>
  <c r="L343" i="1"/>
  <c r="L22" i="3" s="1"/>
  <c r="CI14" i="2"/>
  <c r="I116" i="2"/>
  <c r="I170" i="2"/>
  <c r="M420" i="1"/>
  <c r="M427" i="1" s="1"/>
  <c r="L429" i="1"/>
  <c r="L66" i="2"/>
  <c r="N43" i="1"/>
  <c r="O37" i="1"/>
  <c r="O41" i="1" s="1"/>
  <c r="N16" i="2"/>
  <c r="CN16" i="2" s="1"/>
  <c r="J35" i="1"/>
  <c r="J16" i="3" s="1"/>
  <c r="K17" i="1"/>
  <c r="K33" i="1" s="1"/>
  <c r="J13" i="2"/>
  <c r="J13" i="3"/>
  <c r="G184" i="3"/>
  <c r="J163" i="1"/>
  <c r="K148" i="1"/>
  <c r="J37" i="2"/>
  <c r="J276" i="3"/>
  <c r="Q196" i="3"/>
  <c r="AC196" i="3"/>
  <c r="AM77" i="2"/>
  <c r="AN72" i="2"/>
  <c r="AM130" i="2"/>
  <c r="AM189" i="2"/>
  <c r="AH48" i="5"/>
  <c r="CL17" i="2"/>
  <c r="L171" i="2"/>
  <c r="L117" i="2"/>
  <c r="CI13" i="2"/>
  <c r="I115" i="2"/>
  <c r="I169" i="2"/>
  <c r="BO9" i="2"/>
  <c r="AO9" i="2"/>
  <c r="CO9" i="2"/>
  <c r="P109" i="2"/>
  <c r="O165" i="2"/>
  <c r="O110" i="2"/>
  <c r="L401" i="1"/>
  <c r="L416" i="1" s="1"/>
  <c r="K418" i="1"/>
  <c r="K67" i="2"/>
  <c r="AC17" i="3"/>
  <c r="N115" i="1"/>
  <c r="N123" i="1" s="1"/>
  <c r="M125" i="1"/>
  <c r="M30" i="2"/>
  <c r="CK19" i="2"/>
  <c r="K118" i="2"/>
  <c r="K172" i="2"/>
  <c r="L371" i="1"/>
  <c r="L376" i="1" s="1"/>
  <c r="K378" i="1"/>
  <c r="K13" i="3" s="1"/>
  <c r="K64" i="2"/>
  <c r="AF66" i="5"/>
  <c r="K78" i="3"/>
  <c r="K138" i="3"/>
  <c r="AK20" i="5" s="1"/>
  <c r="AN63" i="2"/>
  <c r="AM128" i="2"/>
  <c r="AM69" i="2"/>
  <c r="AM186" i="2"/>
  <c r="M32" i="5"/>
  <c r="G94" i="3"/>
  <c r="G102" i="3" s="1"/>
  <c r="G106" i="3" s="1"/>
  <c r="G109" i="3" s="1"/>
  <c r="CJ63" i="2"/>
  <c r="J128" i="2"/>
  <c r="I440" i="1"/>
  <c r="H450" i="1"/>
  <c r="H75" i="2"/>
  <c r="H340" i="3"/>
  <c r="H504" i="1"/>
  <c r="H506" i="1" s="1"/>
  <c r="G274" i="1"/>
  <c r="G509" i="1"/>
  <c r="G510" i="1" s="1"/>
  <c r="N420" i="1" l="1"/>
  <c r="N427" i="1" s="1"/>
  <c r="M429" i="1"/>
  <c r="M66" i="2"/>
  <c r="BN77" i="2"/>
  <c r="BN95" i="2" s="1"/>
  <c r="BO72" i="2"/>
  <c r="BO77" i="2" s="1"/>
  <c r="BO95" i="2" s="1"/>
  <c r="M371" i="1"/>
  <c r="M376" i="1" s="1"/>
  <c r="L378" i="1"/>
  <c r="L13" i="3" s="1"/>
  <c r="L64" i="2"/>
  <c r="AJ196" i="3"/>
  <c r="AQ196" i="3"/>
  <c r="J485" i="1"/>
  <c r="J348" i="3"/>
  <c r="BO87" i="2"/>
  <c r="BO92" i="2" s="1"/>
  <c r="BN92" i="2"/>
  <c r="K241" i="3"/>
  <c r="K141" i="3"/>
  <c r="AQ42" i="3"/>
  <c r="AQ45" i="3" s="1"/>
  <c r="AC163" i="3"/>
  <c r="AJ42" i="3"/>
  <c r="AJ45" i="3" s="1"/>
  <c r="AC45" i="3"/>
  <c r="N452" i="1"/>
  <c r="N458" i="1" s="1"/>
  <c r="M460" i="1"/>
  <c r="M74" i="2"/>
  <c r="CK45" i="2"/>
  <c r="K176" i="2"/>
  <c r="K151" i="3"/>
  <c r="AK33" i="5" s="1"/>
  <c r="I180" i="3"/>
  <c r="AI62" i="5" s="1"/>
  <c r="I104" i="3"/>
  <c r="Q35" i="1"/>
  <c r="O321" i="1"/>
  <c r="O333" i="1" s="1"/>
  <c r="N335" i="1"/>
  <c r="N61" i="2"/>
  <c r="CN61" i="2" s="1"/>
  <c r="BN14" i="2"/>
  <c r="BM26" i="2"/>
  <c r="BM52" i="2" s="1"/>
  <c r="I147" i="3"/>
  <c r="AI29" i="5" s="1"/>
  <c r="Q18" i="3"/>
  <c r="Q147" i="3" s="1"/>
  <c r="CJ59" i="2"/>
  <c r="CJ69" i="2" s="1"/>
  <c r="J69" i="2"/>
  <c r="J127" i="2"/>
  <c r="J185" i="2"/>
  <c r="J196" i="2" s="1"/>
  <c r="CL19" i="2"/>
  <c r="L118" i="2"/>
  <c r="L172" i="2"/>
  <c r="I448" i="1"/>
  <c r="I332" i="3"/>
  <c r="AN69" i="2"/>
  <c r="AO63" i="2"/>
  <c r="AN186" i="2"/>
  <c r="AN128" i="2"/>
  <c r="N32" i="5"/>
  <c r="O43" i="1"/>
  <c r="O16" i="2"/>
  <c r="CO16" i="2" s="1"/>
  <c r="N137" i="1"/>
  <c r="N144" i="1" s="1"/>
  <c r="M146" i="1"/>
  <c r="M31" i="2"/>
  <c r="CM31" i="2" s="1"/>
  <c r="Q92" i="3"/>
  <c r="AI25" i="5"/>
  <c r="H155" i="3"/>
  <c r="AH28" i="5"/>
  <c r="AH37" i="5" s="1"/>
  <c r="Q163" i="3"/>
  <c r="Q166" i="3" s="1"/>
  <c r="Q45" i="3"/>
  <c r="M197" i="1"/>
  <c r="M247" i="1" s="1"/>
  <c r="L249" i="1"/>
  <c r="L343" i="3" s="1"/>
  <c r="L45" i="2"/>
  <c r="L368" i="1"/>
  <c r="L25" i="3" s="1"/>
  <c r="M363" i="1"/>
  <c r="M366" i="1" s="1"/>
  <c r="L63" i="2"/>
  <c r="H177" i="2"/>
  <c r="CH23" i="2"/>
  <c r="CH26" i="2" s="1"/>
  <c r="H26" i="2"/>
  <c r="N77" i="1"/>
  <c r="N97" i="1" s="1"/>
  <c r="M99" i="1"/>
  <c r="M22" i="2"/>
  <c r="CM22" i="2" s="1"/>
  <c r="AJ23" i="3"/>
  <c r="AQ23" i="3"/>
  <c r="I86" i="3"/>
  <c r="I146" i="3"/>
  <c r="I36" i="3"/>
  <c r="I47" i="3" s="1"/>
  <c r="I57" i="3" s="1"/>
  <c r="I61" i="3" s="1"/>
  <c r="L279" i="1"/>
  <c r="L299" i="1" s="1"/>
  <c r="K301" i="1"/>
  <c r="K59" i="2"/>
  <c r="AJ21" i="3"/>
  <c r="AQ21" i="3"/>
  <c r="N438" i="1"/>
  <c r="O431" i="1"/>
  <c r="O436" i="1" s="1"/>
  <c r="N73" i="2"/>
  <c r="AH16" i="5"/>
  <c r="AH25" i="5" s="1"/>
  <c r="AH39" i="5" s="1"/>
  <c r="AH50" i="5" s="1"/>
  <c r="AH60" i="5" s="1"/>
  <c r="AH64" i="5" s="1"/>
  <c r="L192" i="2"/>
  <c r="CL74" i="2"/>
  <c r="AJ17" i="3"/>
  <c r="AQ17" i="3"/>
  <c r="CK63" i="2"/>
  <c r="K128" i="2"/>
  <c r="AC22" i="3"/>
  <c r="CH44" i="2"/>
  <c r="CH49" i="2" s="1"/>
  <c r="H49" i="2"/>
  <c r="H121" i="2" s="1"/>
  <c r="M401" i="1"/>
  <c r="M416" i="1" s="1"/>
  <c r="L67" i="2"/>
  <c r="L418" i="1"/>
  <c r="L26" i="3" s="1"/>
  <c r="J76" i="3"/>
  <c r="J131" i="3"/>
  <c r="J36" i="3"/>
  <c r="J47" i="3" s="1"/>
  <c r="J57" i="3" s="1"/>
  <c r="Q13" i="3"/>
  <c r="AC13" i="3"/>
  <c r="L29" i="3"/>
  <c r="AQ19" i="5"/>
  <c r="I192" i="1"/>
  <c r="I297" i="3"/>
  <c r="O398" i="1"/>
  <c r="O65" i="2"/>
  <c r="CO65" i="2" s="1"/>
  <c r="I490" i="1"/>
  <c r="H502" i="1"/>
  <c r="H90" i="2"/>
  <c r="H367" i="3"/>
  <c r="G119" i="2"/>
  <c r="G123" i="2" s="1"/>
  <c r="G151" i="2" s="1"/>
  <c r="G174" i="2"/>
  <c r="G181" i="2" s="1"/>
  <c r="G208" i="2" s="1"/>
  <c r="CL12" i="2"/>
  <c r="L114" i="2"/>
  <c r="L168" i="2"/>
  <c r="K14" i="2"/>
  <c r="K475" i="1"/>
  <c r="L463" i="1"/>
  <c r="L473" i="1" s="1"/>
  <c r="AN141" i="2"/>
  <c r="AN144" i="2" s="1"/>
  <c r="AN149" i="2" s="1"/>
  <c r="AO87" i="2"/>
  <c r="AN92" i="2"/>
  <c r="AN201" i="2" s="1"/>
  <c r="AN203" i="2" s="1"/>
  <c r="AN205" i="2" s="1"/>
  <c r="CN87" i="2"/>
  <c r="K195" i="3"/>
  <c r="K33" i="3"/>
  <c r="AJ19" i="3"/>
  <c r="AQ19" i="3"/>
  <c r="N67" i="1"/>
  <c r="N72" i="1" s="1"/>
  <c r="M74" i="1"/>
  <c r="M23" i="3" s="1"/>
  <c r="M21" i="2"/>
  <c r="CM21" i="2" s="1"/>
  <c r="CM17" i="2"/>
  <c r="M171" i="2"/>
  <c r="M117" i="2"/>
  <c r="N60" i="1"/>
  <c r="N63" i="1" s="1"/>
  <c r="M65" i="1"/>
  <c r="M21" i="3" s="1"/>
  <c r="M19" i="2"/>
  <c r="AL173" i="2"/>
  <c r="AL181" i="2" s="1"/>
  <c r="AL208" i="2" s="1"/>
  <c r="AL120" i="2"/>
  <c r="AL123" i="2" s="1"/>
  <c r="AL151" i="2" s="1"/>
  <c r="O310" i="1"/>
  <c r="O15" i="2"/>
  <c r="CO15" i="2" s="1"/>
  <c r="CJ37" i="2"/>
  <c r="M130" i="2"/>
  <c r="CM72" i="2"/>
  <c r="M189" i="2"/>
  <c r="H178" i="1"/>
  <c r="I165" i="1"/>
  <c r="H38" i="2"/>
  <c r="H289" i="3"/>
  <c r="H272" i="1"/>
  <c r="J220" i="3"/>
  <c r="Q201" i="3"/>
  <c r="Q220" i="3" s="1"/>
  <c r="AC201" i="3"/>
  <c r="AG37" i="5"/>
  <c r="AG39" i="5" s="1"/>
  <c r="AG50" i="5" s="1"/>
  <c r="AG60" i="5" s="1"/>
  <c r="AG64" i="5" s="1"/>
  <c r="K76" i="3"/>
  <c r="K81" i="3" s="1"/>
  <c r="K131" i="3"/>
  <c r="N338" i="1"/>
  <c r="N341" i="1" s="1"/>
  <c r="M62" i="2"/>
  <c r="M343" i="1"/>
  <c r="M22" i="3" s="1"/>
  <c r="M113" i="1"/>
  <c r="N101" i="1"/>
  <c r="N111" i="1" s="1"/>
  <c r="M24" i="2"/>
  <c r="CM24" i="2" s="1"/>
  <c r="CH75" i="2"/>
  <c r="CH77" i="2" s="1"/>
  <c r="H131" i="2"/>
  <c r="H133" i="2" s="1"/>
  <c r="H77" i="2"/>
  <c r="H194" i="2"/>
  <c r="J86" i="3"/>
  <c r="J113" i="3" s="1"/>
  <c r="J115" i="3" s="1"/>
  <c r="J146" i="3"/>
  <c r="AL45" i="5"/>
  <c r="AL48" i="5" s="1"/>
  <c r="L166" i="3"/>
  <c r="CK67" i="2"/>
  <c r="Q16" i="3"/>
  <c r="Q146" i="3" s="1"/>
  <c r="Q155" i="3" s="1"/>
  <c r="AL52" i="2"/>
  <c r="AL98" i="2" s="1"/>
  <c r="L34" i="3"/>
  <c r="L201" i="3"/>
  <c r="L220" i="3" s="1"/>
  <c r="I184" i="1"/>
  <c r="I291" i="3"/>
  <c r="K161" i="1"/>
  <c r="K263" i="3"/>
  <c r="CL66" i="2"/>
  <c r="M346" i="3"/>
  <c r="M196" i="3" s="1"/>
  <c r="L34" i="2"/>
  <c r="AN14" i="2"/>
  <c r="AM26" i="2"/>
  <c r="CI47" i="2"/>
  <c r="I179" i="2"/>
  <c r="AJ45" i="5"/>
  <c r="J166" i="3"/>
  <c r="M466" i="1"/>
  <c r="M19" i="3"/>
  <c r="N51" i="1"/>
  <c r="O45" i="1"/>
  <c r="O49" i="1" s="1"/>
  <c r="N17" i="2"/>
  <c r="O127" i="1"/>
  <c r="O132" i="1" s="1"/>
  <c r="N134" i="1"/>
  <c r="N261" i="3" s="1"/>
  <c r="N42" i="3" s="1"/>
  <c r="N32" i="2"/>
  <c r="CN32" i="2" s="1"/>
  <c r="N260" i="3"/>
  <c r="J241" i="3"/>
  <c r="J141" i="3"/>
  <c r="Q34" i="3"/>
  <c r="AC34" i="3"/>
  <c r="AG66" i="5"/>
  <c r="G95" i="2"/>
  <c r="G98" i="2" s="1"/>
  <c r="K35" i="1"/>
  <c r="K16" i="3" s="1"/>
  <c r="L17" i="1"/>
  <c r="L33" i="1" s="1"/>
  <c r="K13" i="2"/>
  <c r="CI81" i="2"/>
  <c r="CI84" i="2" s="1"/>
  <c r="I84" i="2"/>
  <c r="I200" i="2"/>
  <c r="I138" i="2"/>
  <c r="AM95" i="2"/>
  <c r="M15" i="1"/>
  <c r="M258" i="3" s="1"/>
  <c r="N10" i="1"/>
  <c r="N13" i="1" s="1"/>
  <c r="M12" i="2"/>
  <c r="M257" i="3"/>
  <c r="AM30" i="2"/>
  <c r="AM34" i="2" s="1"/>
  <c r="CM30" i="2"/>
  <c r="CM34" i="2" s="1"/>
  <c r="M34" i="2"/>
  <c r="O53" i="1"/>
  <c r="O56" i="1" s="1"/>
  <c r="N58" i="1"/>
  <c r="N18" i="2"/>
  <c r="CN18" i="2" s="1"/>
  <c r="CJ14" i="2"/>
  <c r="J170" i="2"/>
  <c r="J116" i="2"/>
  <c r="AM32" i="5"/>
  <c r="M37" i="5"/>
  <c r="M39" i="5" s="1"/>
  <c r="M50" i="5" s="1"/>
  <c r="M60" i="5" s="1"/>
  <c r="M64" i="5" s="1"/>
  <c r="CK64" i="2"/>
  <c r="K129" i="2"/>
  <c r="K188" i="2"/>
  <c r="N125" i="1"/>
  <c r="O115" i="1"/>
  <c r="O123" i="1" s="1"/>
  <c r="N30" i="2"/>
  <c r="AO72" i="2"/>
  <c r="AN77" i="2"/>
  <c r="AN130" i="2"/>
  <c r="AN189" i="2"/>
  <c r="CJ13" i="2"/>
  <c r="J115" i="2"/>
  <c r="J169" i="2"/>
  <c r="CL62" i="2"/>
  <c r="L186" i="2"/>
  <c r="CM73" i="2"/>
  <c r="M191" i="2"/>
  <c r="CL30" i="2"/>
  <c r="CL34" i="2" s="1"/>
  <c r="CN89" i="2"/>
  <c r="O89" i="2"/>
  <c r="AQ149" i="3"/>
  <c r="AJ149" i="3"/>
  <c r="H157" i="3"/>
  <c r="H168" i="3" s="1"/>
  <c r="H178" i="3" s="1"/>
  <c r="H182" i="3" s="1"/>
  <c r="J268" i="1"/>
  <c r="J304" i="3"/>
  <c r="BM95" i="2"/>
  <c r="AO64" i="2"/>
  <c r="AN188" i="2"/>
  <c r="AN129" i="2"/>
  <c r="N319" i="1"/>
  <c r="O312" i="1"/>
  <c r="O317" i="1" s="1"/>
  <c r="N60" i="2"/>
  <c r="CN60" i="2" s="1"/>
  <c r="N388" i="1"/>
  <c r="O381" i="1"/>
  <c r="O386" i="1" s="1"/>
  <c r="N72" i="2"/>
  <c r="M163" i="3"/>
  <c r="M45" i="3"/>
  <c r="AC26" i="3" l="1"/>
  <c r="L153" i="3"/>
  <c r="AL35" i="5" s="1"/>
  <c r="M120" i="2"/>
  <c r="M173" i="2"/>
  <c r="H95" i="2"/>
  <c r="K198" i="3"/>
  <c r="AK23" i="5"/>
  <c r="K245" i="3"/>
  <c r="CN72" i="2"/>
  <c r="N130" i="2"/>
  <c r="N189" i="2"/>
  <c r="AJ13" i="3"/>
  <c r="AQ13" i="3"/>
  <c r="AC131" i="3"/>
  <c r="CL67" i="2"/>
  <c r="O58" i="1"/>
  <c r="P58" i="1" s="1"/>
  <c r="R58" i="1" s="1"/>
  <c r="O18" i="2"/>
  <c r="CO18" i="2" s="1"/>
  <c r="I140" i="2"/>
  <c r="H274" i="1"/>
  <c r="H509" i="1"/>
  <c r="H510" i="1" s="1"/>
  <c r="AO141" i="2"/>
  <c r="CO87" i="2"/>
  <c r="AO92" i="2"/>
  <c r="AO201" i="2" s="1"/>
  <c r="AO203" i="2" s="1"/>
  <c r="AO205" i="2" s="1"/>
  <c r="O24" i="3"/>
  <c r="P398" i="1"/>
  <c r="R398" i="1" s="1"/>
  <c r="M418" i="1"/>
  <c r="M26" i="3" s="1"/>
  <c r="M153" i="3" s="1"/>
  <c r="AM35" i="5" s="1"/>
  <c r="M67" i="2"/>
  <c r="N401" i="1"/>
  <c r="N416" i="1" s="1"/>
  <c r="O438" i="1"/>
  <c r="O73" i="2"/>
  <c r="N197" i="1"/>
  <c r="N247" i="1" s="1"/>
  <c r="M249" i="1"/>
  <c r="M343" i="3" s="1"/>
  <c r="M45" i="2"/>
  <c r="BM98" i="2"/>
  <c r="O452" i="1"/>
  <c r="O458" i="1" s="1"/>
  <c r="N460" i="1"/>
  <c r="N74" i="2"/>
  <c r="M378" i="1"/>
  <c r="M13" i="3" s="1"/>
  <c r="N371" i="1"/>
  <c r="N376" i="1" s="1"/>
  <c r="M64" i="2"/>
  <c r="CK13" i="2"/>
  <c r="K115" i="2"/>
  <c r="K169" i="2"/>
  <c r="P43" i="1"/>
  <c r="R43" i="1" s="1"/>
  <c r="O465" i="1"/>
  <c r="P465" i="1" s="1"/>
  <c r="R465" i="1" s="1"/>
  <c r="P310" i="1"/>
  <c r="R310" i="1" s="1"/>
  <c r="L176" i="2"/>
  <c r="CL45" i="2"/>
  <c r="M192" i="2"/>
  <c r="CM74" i="2"/>
  <c r="M279" i="1"/>
  <c r="M299" i="1" s="1"/>
  <c r="L301" i="1"/>
  <c r="L18" i="3" s="1"/>
  <c r="L147" i="3" s="1"/>
  <c r="AL29" i="5" s="1"/>
  <c r="L59" i="2"/>
  <c r="AQ29" i="5"/>
  <c r="L76" i="3"/>
  <c r="L131" i="3"/>
  <c r="L36" i="3"/>
  <c r="L47" i="3" s="1"/>
  <c r="L57" i="3" s="1"/>
  <c r="O388" i="1"/>
  <c r="O72" i="2"/>
  <c r="AO77" i="2"/>
  <c r="AO130" i="2"/>
  <c r="AP130" i="2" s="1"/>
  <c r="AO189" i="2"/>
  <c r="AN30" i="2"/>
  <c r="AN34" i="2" s="1"/>
  <c r="CN30" i="2"/>
  <c r="L241" i="3"/>
  <c r="L141" i="3"/>
  <c r="O101" i="1"/>
  <c r="O111" i="1" s="1"/>
  <c r="N113" i="1"/>
  <c r="N24" i="2"/>
  <c r="CN24" i="2" s="1"/>
  <c r="AQ28" i="5"/>
  <c r="AQ37" i="5" s="1"/>
  <c r="CM19" i="2"/>
  <c r="M118" i="2"/>
  <c r="M172" i="2"/>
  <c r="O67" i="1"/>
  <c r="O72" i="1" s="1"/>
  <c r="N74" i="1"/>
  <c r="N23" i="3" s="1"/>
  <c r="N21" i="2"/>
  <c r="CN21" i="2" s="1"/>
  <c r="Q131" i="3"/>
  <c r="Q134" i="3" s="1"/>
  <c r="Q36" i="3"/>
  <c r="Q47" i="3" s="1"/>
  <c r="Q57" i="3" s="1"/>
  <c r="N346" i="3"/>
  <c r="N196" i="3" s="1"/>
  <c r="I155" i="3"/>
  <c r="I157" i="3" s="1"/>
  <c r="I168" i="3" s="1"/>
  <c r="I178" i="3" s="1"/>
  <c r="I182" i="3" s="1"/>
  <c r="I184" i="3" s="1"/>
  <c r="AI28" i="5"/>
  <c r="AO69" i="2"/>
  <c r="AO95" i="2" s="1"/>
  <c r="AO128" i="2"/>
  <c r="AP128" i="2" s="1"/>
  <c r="AO186" i="2"/>
  <c r="O32" i="5"/>
  <c r="BO14" i="2"/>
  <c r="BO26" i="2" s="1"/>
  <c r="BO52" i="2" s="1"/>
  <c r="BO98" i="2" s="1"/>
  <c r="BN26" i="2"/>
  <c r="BN52" i="2" s="1"/>
  <c r="BN98" i="2" s="1"/>
  <c r="Q141" i="3"/>
  <c r="Q241" i="3"/>
  <c r="CK59" i="2"/>
  <c r="CK69" i="2" s="1"/>
  <c r="K69" i="2"/>
  <c r="K127" i="2"/>
  <c r="K185" i="2"/>
  <c r="K196" i="2" s="1"/>
  <c r="AH66" i="5"/>
  <c r="H184" i="3"/>
  <c r="M17" i="1"/>
  <c r="M33" i="1" s="1"/>
  <c r="L35" i="1"/>
  <c r="L16" i="3" s="1"/>
  <c r="L13" i="2"/>
  <c r="O420" i="1"/>
  <c r="O427" i="1" s="1"/>
  <c r="N429" i="1"/>
  <c r="N66" i="2"/>
  <c r="AM120" i="2"/>
  <c r="AM123" i="2" s="1"/>
  <c r="AM151" i="2" s="1"/>
  <c r="AM173" i="2"/>
  <c r="AM181" i="2" s="1"/>
  <c r="AM208" i="2" s="1"/>
  <c r="J239" i="3"/>
  <c r="J237" i="3" s="1"/>
  <c r="J243" i="3"/>
  <c r="CN73" i="2"/>
  <c r="N191" i="2"/>
  <c r="CO89" i="2"/>
  <c r="O125" i="1"/>
  <c r="P125" i="1" s="1"/>
  <c r="R125" i="1" s="1"/>
  <c r="O30" i="2"/>
  <c r="N163" i="3"/>
  <c r="N45" i="3"/>
  <c r="AM52" i="2"/>
  <c r="AM98" i="2" s="1"/>
  <c r="K163" i="1"/>
  <c r="L148" i="1"/>
  <c r="K37" i="2"/>
  <c r="K276" i="3"/>
  <c r="J155" i="3"/>
  <c r="AJ28" i="5"/>
  <c r="AJ37" i="5" s="1"/>
  <c r="CH38" i="2"/>
  <c r="CH40" i="2" s="1"/>
  <c r="CH52" i="2" s="1"/>
  <c r="CH98" i="2" s="1"/>
  <c r="H40" i="2"/>
  <c r="M463" i="1"/>
  <c r="M473" i="1" s="1"/>
  <c r="L475" i="1"/>
  <c r="L14" i="2"/>
  <c r="J188" i="1"/>
  <c r="I194" i="1"/>
  <c r="I46" i="2"/>
  <c r="CI46" i="2" s="1"/>
  <c r="I301" i="3"/>
  <c r="I113" i="3"/>
  <c r="I115" i="3" s="1"/>
  <c r="I94" i="3"/>
  <c r="I102" i="3" s="1"/>
  <c r="I106" i="3" s="1"/>
  <c r="I109" i="3" s="1"/>
  <c r="Q86" i="3"/>
  <c r="Q113" i="3" s="1"/>
  <c r="Q115" i="3" s="1"/>
  <c r="M29" i="3"/>
  <c r="AN95" i="2"/>
  <c r="K252" i="1"/>
  <c r="J270" i="1"/>
  <c r="J47" i="2"/>
  <c r="J320" i="3"/>
  <c r="O10" i="1"/>
  <c r="O13" i="1" s="1"/>
  <c r="N15" i="1"/>
  <c r="N258" i="3" s="1"/>
  <c r="N12" i="2"/>
  <c r="N257" i="3"/>
  <c r="CN17" i="2"/>
  <c r="N117" i="2"/>
  <c r="N171" i="2"/>
  <c r="N343" i="1"/>
  <c r="N22" i="3" s="1"/>
  <c r="O338" i="1"/>
  <c r="O341" i="1" s="1"/>
  <c r="N62" i="2"/>
  <c r="L151" i="3"/>
  <c r="AL33" i="5" s="1"/>
  <c r="AC25" i="3"/>
  <c r="AM45" i="5"/>
  <c r="AM48" i="5" s="1"/>
  <c r="M166" i="3"/>
  <c r="M34" i="3"/>
  <c r="M201" i="3"/>
  <c r="M220" i="3" s="1"/>
  <c r="O51" i="1"/>
  <c r="O17" i="2"/>
  <c r="N37" i="5"/>
  <c r="N39" i="5" s="1"/>
  <c r="N50" i="5" s="1"/>
  <c r="N60" i="5" s="1"/>
  <c r="N64" i="5" s="1"/>
  <c r="AN32" i="5"/>
  <c r="K239" i="3"/>
  <c r="K237" i="3" s="1"/>
  <c r="K243" i="3"/>
  <c r="K146" i="3"/>
  <c r="AK13" i="5"/>
  <c r="AK16" i="5" s="1"/>
  <c r="K134" i="3"/>
  <c r="N99" i="1"/>
  <c r="O77" i="1"/>
  <c r="O97" i="1" s="1"/>
  <c r="N22" i="2"/>
  <c r="CN22" i="2" s="1"/>
  <c r="O319" i="1"/>
  <c r="O60" i="2"/>
  <c r="CO60" i="2" s="1"/>
  <c r="M114" i="2"/>
  <c r="CM12" i="2"/>
  <c r="M168" i="2"/>
  <c r="AJ34" i="3"/>
  <c r="AJ241" i="3" s="1"/>
  <c r="AQ34" i="3"/>
  <c r="AQ241" i="3" s="1"/>
  <c r="AC141" i="3"/>
  <c r="AC241" i="3"/>
  <c r="O134" i="1"/>
  <c r="O32" i="2"/>
  <c r="CO32" i="2" s="1"/>
  <c r="O260" i="3"/>
  <c r="AO14" i="2"/>
  <c r="AO26" i="2" s="1"/>
  <c r="AN26" i="2"/>
  <c r="I176" i="1"/>
  <c r="I278" i="3"/>
  <c r="O60" i="1"/>
  <c r="O63" i="1" s="1"/>
  <c r="N65" i="1"/>
  <c r="N21" i="3" s="1"/>
  <c r="N19" i="2"/>
  <c r="AJ13" i="5"/>
  <c r="J134" i="3"/>
  <c r="J143" i="3" s="1"/>
  <c r="J157" i="3" s="1"/>
  <c r="J168" i="3" s="1"/>
  <c r="J178" i="3" s="1"/>
  <c r="AQ22" i="3"/>
  <c r="AJ22" i="3"/>
  <c r="CL63" i="2"/>
  <c r="L128" i="2"/>
  <c r="N146" i="1"/>
  <c r="O137" i="1"/>
  <c r="O144" i="1" s="1"/>
  <c r="N31" i="2"/>
  <c r="CN31" i="2" s="1"/>
  <c r="AJ163" i="3"/>
  <c r="AJ166" i="3" s="1"/>
  <c r="AQ163" i="3"/>
  <c r="AQ166" i="3" s="1"/>
  <c r="AC166" i="3"/>
  <c r="K478" i="1"/>
  <c r="J81" i="2"/>
  <c r="J487" i="1"/>
  <c r="J59" i="3" s="1"/>
  <c r="J61" i="3" s="1"/>
  <c r="J355" i="3"/>
  <c r="AJ48" i="5"/>
  <c r="AQ45" i="5"/>
  <c r="AQ48" i="5" s="1"/>
  <c r="AQ201" i="3"/>
  <c r="AQ220" i="3" s="1"/>
  <c r="AC220" i="3"/>
  <c r="AJ201" i="3"/>
  <c r="AJ220" i="3" s="1"/>
  <c r="L78" i="3"/>
  <c r="AC78" i="3" s="1"/>
  <c r="L138" i="3"/>
  <c r="AL20" i="5" s="1"/>
  <c r="AC29" i="3"/>
  <c r="J245" i="3"/>
  <c r="AJ23" i="5"/>
  <c r="I500" i="1"/>
  <c r="I357" i="3"/>
  <c r="K18" i="3"/>
  <c r="CL64" i="2"/>
  <c r="L188" i="2"/>
  <c r="L129" i="2"/>
  <c r="AO129" i="2"/>
  <c r="AP129" i="2" s="1"/>
  <c r="AO188" i="2"/>
  <c r="N17" i="3"/>
  <c r="I186" i="1"/>
  <c r="J180" i="1"/>
  <c r="I23" i="2"/>
  <c r="I44" i="2" s="1"/>
  <c r="I295" i="3"/>
  <c r="L33" i="3"/>
  <c r="L195" i="3"/>
  <c r="L198" i="3" s="1"/>
  <c r="N466" i="1"/>
  <c r="N19" i="3"/>
  <c r="L120" i="2"/>
  <c r="L173" i="2"/>
  <c r="CM62" i="2"/>
  <c r="K137" i="3"/>
  <c r="AK19" i="5" s="1"/>
  <c r="K92" i="3"/>
  <c r="AC33" i="3"/>
  <c r="CK14" i="2"/>
  <c r="K116" i="2"/>
  <c r="K170" i="2"/>
  <c r="CH90" i="2"/>
  <c r="CH92" i="2" s="1"/>
  <c r="CH95" i="2" s="1"/>
  <c r="H141" i="2"/>
  <c r="H144" i="2" s="1"/>
  <c r="H149" i="2" s="1"/>
  <c r="H92" i="2"/>
  <c r="H201" i="2" s="1"/>
  <c r="H203" i="2" s="1"/>
  <c r="H205" i="2" s="1"/>
  <c r="J81" i="3"/>
  <c r="J94" i="3" s="1"/>
  <c r="J102" i="3" s="1"/>
  <c r="Q76" i="3"/>
  <c r="Q81" i="3" s="1"/>
  <c r="Q94" i="3" s="1"/>
  <c r="Q102" i="3" s="1"/>
  <c r="N363" i="1"/>
  <c r="N366" i="1" s="1"/>
  <c r="M368" i="1"/>
  <c r="M25" i="3" s="1"/>
  <c r="M151" i="3" s="1"/>
  <c r="AM33" i="5" s="1"/>
  <c r="M63" i="2"/>
  <c r="I450" i="1"/>
  <c r="J440" i="1"/>
  <c r="I75" i="2"/>
  <c r="I340" i="3"/>
  <c r="I504" i="1"/>
  <c r="I506" i="1" s="1"/>
  <c r="O335" i="1"/>
  <c r="P335" i="1" s="1"/>
  <c r="R335" i="1" s="1"/>
  <c r="O61" i="2"/>
  <c r="CO61" i="2" s="1"/>
  <c r="CM66" i="2"/>
  <c r="I49" i="2" l="1"/>
  <c r="I121" i="2" s="1"/>
  <c r="CI44" i="2"/>
  <c r="CI49" i="2" s="1"/>
  <c r="N279" i="1"/>
  <c r="N299" i="1" s="1"/>
  <c r="M301" i="1"/>
  <c r="M18" i="3" s="1"/>
  <c r="M147" i="3" s="1"/>
  <c r="AM29" i="5" s="1"/>
  <c r="M59" i="2"/>
  <c r="O146" i="1"/>
  <c r="O31" i="2"/>
  <c r="CO31" i="2" s="1"/>
  <c r="CN19" i="2"/>
  <c r="N118" i="2"/>
  <c r="N172" i="2"/>
  <c r="O197" i="1"/>
  <c r="O247" i="1" s="1"/>
  <c r="N249" i="1"/>
  <c r="N343" i="3" s="1"/>
  <c r="N45" i="2"/>
  <c r="N29" i="3"/>
  <c r="AK25" i="5"/>
  <c r="CN12" i="2"/>
  <c r="N114" i="2"/>
  <c r="N168" i="2"/>
  <c r="H119" i="2"/>
  <c r="H123" i="2" s="1"/>
  <c r="H151" i="2" s="1"/>
  <c r="H174" i="2"/>
  <c r="H181" i="2" s="1"/>
  <c r="H208" i="2" s="1"/>
  <c r="CN66" i="2"/>
  <c r="O460" i="1"/>
  <c r="P460" i="1" s="1"/>
  <c r="R460" i="1" s="1"/>
  <c r="O74" i="2"/>
  <c r="H52" i="2"/>
  <c r="H98" i="2" s="1"/>
  <c r="AJ131" i="3"/>
  <c r="AJ134" i="3" s="1"/>
  <c r="AQ131" i="3"/>
  <c r="AQ134" i="3" s="1"/>
  <c r="AC134" i="3"/>
  <c r="L137" i="3"/>
  <c r="AL19" i="5" s="1"/>
  <c r="L92" i="3"/>
  <c r="J490" i="1"/>
  <c r="I502" i="1"/>
  <c r="I90" i="2"/>
  <c r="I367" i="3"/>
  <c r="K485" i="1"/>
  <c r="K348" i="3"/>
  <c r="O65" i="1"/>
  <c r="O19" i="2"/>
  <c r="AC243" i="3"/>
  <c r="AC239" i="3"/>
  <c r="CO17" i="2"/>
  <c r="O117" i="2"/>
  <c r="P117" i="2" s="1"/>
  <c r="O171" i="2"/>
  <c r="CN62" i="2"/>
  <c r="O113" i="1"/>
  <c r="P113" i="1" s="1"/>
  <c r="R113" i="1" s="1"/>
  <c r="O24" i="2"/>
  <c r="CO24" i="2" s="1"/>
  <c r="O149" i="3"/>
  <c r="AO31" i="5" s="1"/>
  <c r="AP31" i="5" s="1"/>
  <c r="AR31" i="5" s="1"/>
  <c r="P24" i="3"/>
  <c r="AJ16" i="5"/>
  <c r="AJ25" i="5" s="1"/>
  <c r="AJ39" i="5" s="1"/>
  <c r="AJ50" i="5" s="1"/>
  <c r="AJ60" i="5" s="1"/>
  <c r="AQ13" i="5"/>
  <c r="AQ16" i="5" s="1"/>
  <c r="L161" i="1"/>
  <c r="L263" i="3"/>
  <c r="Q243" i="3"/>
  <c r="Q239" i="3"/>
  <c r="CM67" i="2"/>
  <c r="K147" i="3"/>
  <c r="AK29" i="5" s="1"/>
  <c r="AC18" i="3"/>
  <c r="K36" i="3"/>
  <c r="K47" i="3" s="1"/>
  <c r="K57" i="3" s="1"/>
  <c r="K143" i="3"/>
  <c r="N463" i="1"/>
  <c r="N473" i="1" s="1"/>
  <c r="M475" i="1"/>
  <c r="M14" i="2"/>
  <c r="AL13" i="5"/>
  <c r="AL16" i="5" s="1"/>
  <c r="AL25" i="5" s="1"/>
  <c r="L134" i="3"/>
  <c r="L143" i="3" s="1"/>
  <c r="O261" i="3"/>
  <c r="P134" i="1"/>
  <c r="R134" i="1" s="1"/>
  <c r="L81" i="3"/>
  <c r="AC76" i="3"/>
  <c r="AQ141" i="3"/>
  <c r="AJ141" i="3"/>
  <c r="AJ245" i="3" s="1"/>
  <c r="AC245" i="3"/>
  <c r="AK28" i="5"/>
  <c r="O17" i="3"/>
  <c r="P51" i="1"/>
  <c r="R51" i="1" s="1"/>
  <c r="O343" i="1"/>
  <c r="O62" i="2"/>
  <c r="N34" i="3"/>
  <c r="N201" i="3"/>
  <c r="N220" i="3" s="1"/>
  <c r="M78" i="3"/>
  <c r="M138" i="3"/>
  <c r="AM20" i="5" s="1"/>
  <c r="O66" i="2"/>
  <c r="O429" i="1"/>
  <c r="P429" i="1" s="1"/>
  <c r="R429" i="1" s="1"/>
  <c r="AI37" i="5"/>
  <c r="AI39" i="5" s="1"/>
  <c r="AI50" i="5" s="1"/>
  <c r="AI60" i="5" s="1"/>
  <c r="AI64" i="5" s="1"/>
  <c r="AI66" i="5" s="1"/>
  <c r="O74" i="1"/>
  <c r="O21" i="2"/>
  <c r="CO21" i="2" s="1"/>
  <c r="L245" i="3"/>
  <c r="AL23" i="5"/>
  <c r="J184" i="1"/>
  <c r="J291" i="3"/>
  <c r="CN74" i="2"/>
  <c r="N192" i="2"/>
  <c r="J180" i="3"/>
  <c r="AJ62" i="5" s="1"/>
  <c r="J104" i="3"/>
  <c r="Q104" i="3" s="1"/>
  <c r="Q59" i="3"/>
  <c r="Q180" i="3" s="1"/>
  <c r="K268" i="1"/>
  <c r="K304" i="3"/>
  <c r="O363" i="1"/>
  <c r="O366" i="1" s="1"/>
  <c r="N63" i="2"/>
  <c r="N368" i="1"/>
  <c r="N25" i="3" s="1"/>
  <c r="N151" i="3" s="1"/>
  <c r="AN33" i="5" s="1"/>
  <c r="CI75" i="2"/>
  <c r="CI77" i="2" s="1"/>
  <c r="I77" i="2"/>
  <c r="I131" i="2"/>
  <c r="I133" i="2" s="1"/>
  <c r="I194" i="2"/>
  <c r="Q106" i="3"/>
  <c r="AQ33" i="3"/>
  <c r="AC137" i="3"/>
  <c r="AJ33" i="3"/>
  <c r="AQ23" i="5"/>
  <c r="J165" i="1"/>
  <c r="I178" i="1"/>
  <c r="I38" i="2"/>
  <c r="I289" i="3"/>
  <c r="I272" i="1"/>
  <c r="AQ239" i="3"/>
  <c r="AQ243" i="3"/>
  <c r="O466" i="1"/>
  <c r="P466" i="1" s="1"/>
  <c r="R466" i="1" s="1"/>
  <c r="O19" i="3"/>
  <c r="P19" i="3" s="1"/>
  <c r="P319" i="1"/>
  <c r="R319" i="1" s="1"/>
  <c r="K86" i="3"/>
  <c r="O15" i="1"/>
  <c r="O12" i="2"/>
  <c r="O257" i="3"/>
  <c r="AN45" i="5"/>
  <c r="AN48" i="5" s="1"/>
  <c r="N166" i="3"/>
  <c r="L243" i="3"/>
  <c r="L239" i="3"/>
  <c r="L237" i="3" s="1"/>
  <c r="AC237" i="3" s="1"/>
  <c r="L69" i="2"/>
  <c r="CL59" i="2"/>
  <c r="CL69" i="2" s="1"/>
  <c r="L185" i="2"/>
  <c r="L196" i="2" s="1"/>
  <c r="L127" i="2"/>
  <c r="CM64" i="2"/>
  <c r="M188" i="2"/>
  <c r="M129" i="2"/>
  <c r="CO73" i="2"/>
  <c r="O191" i="2"/>
  <c r="AC195" i="3"/>
  <c r="AJ26" i="3"/>
  <c r="AQ26" i="3"/>
  <c r="AC153" i="3"/>
  <c r="CM63" i="2"/>
  <c r="M128" i="2"/>
  <c r="Q61" i="3"/>
  <c r="M33" i="3"/>
  <c r="M195" i="3"/>
  <c r="M198" i="3" s="1"/>
  <c r="Q143" i="3"/>
  <c r="Q157" i="3" s="1"/>
  <c r="Q168" i="3" s="1"/>
  <c r="Q178" i="3" s="1"/>
  <c r="M186" i="2"/>
  <c r="CJ81" i="2"/>
  <c r="CJ84" i="2" s="1"/>
  <c r="J84" i="2"/>
  <c r="J200" i="2"/>
  <c r="J138" i="2"/>
  <c r="J140" i="2" s="1"/>
  <c r="J448" i="1"/>
  <c r="J332" i="3"/>
  <c r="J106" i="3"/>
  <c r="J109" i="3" s="1"/>
  <c r="AN52" i="2"/>
  <c r="AN98" i="2" s="1"/>
  <c r="AJ243" i="3"/>
  <c r="AJ239" i="3"/>
  <c r="M241" i="3"/>
  <c r="M141" i="3"/>
  <c r="J192" i="1"/>
  <c r="J297" i="3"/>
  <c r="CL13" i="2"/>
  <c r="L115" i="2"/>
  <c r="L169" i="2"/>
  <c r="CO72" i="2"/>
  <c r="O130" i="2"/>
  <c r="P130" i="2" s="1"/>
  <c r="O189" i="2"/>
  <c r="N378" i="1"/>
  <c r="N13" i="3" s="1"/>
  <c r="O371" i="1"/>
  <c r="O376" i="1" s="1"/>
  <c r="N64" i="2"/>
  <c r="O346" i="3"/>
  <c r="P438" i="1"/>
  <c r="R438" i="1" s="1"/>
  <c r="N17" i="1"/>
  <c r="N33" i="1" s="1"/>
  <c r="M35" i="1"/>
  <c r="M16" i="3" s="1"/>
  <c r="M13" i="2"/>
  <c r="CN34" i="2"/>
  <c r="AJ78" i="3"/>
  <c r="AQ78" i="3"/>
  <c r="AJ25" i="3"/>
  <c r="AQ25" i="3"/>
  <c r="AC151" i="3"/>
  <c r="Q245" i="3"/>
  <c r="AN120" i="2"/>
  <c r="AN123" i="2" s="1"/>
  <c r="AN151" i="2" s="1"/>
  <c r="AN173" i="2"/>
  <c r="AN181" i="2" s="1"/>
  <c r="AN208" i="2" s="1"/>
  <c r="AC92" i="3"/>
  <c r="CI23" i="2"/>
  <c r="CI26" i="2" s="1"/>
  <c r="I177" i="2"/>
  <c r="I26" i="2"/>
  <c r="AJ29" i="3"/>
  <c r="AC138" i="3"/>
  <c r="AQ29" i="3"/>
  <c r="J182" i="3"/>
  <c r="J184" i="3" s="1"/>
  <c r="O99" i="1"/>
  <c r="O22" i="2"/>
  <c r="CO22" i="2" s="1"/>
  <c r="CJ47" i="2"/>
  <c r="J179" i="2"/>
  <c r="CL14" i="2"/>
  <c r="L116" i="2"/>
  <c r="L170" i="2"/>
  <c r="CK37" i="2"/>
  <c r="O34" i="2"/>
  <c r="AO30" i="2"/>
  <c r="AO34" i="2" s="1"/>
  <c r="AO52" i="2" s="1"/>
  <c r="AO98" i="2" s="1"/>
  <c r="CO30" i="2"/>
  <c r="CO34" i="2" s="1"/>
  <c r="Q237" i="3"/>
  <c r="L86" i="3"/>
  <c r="L113" i="3" s="1"/>
  <c r="L115" i="3" s="1"/>
  <c r="L146" i="3"/>
  <c r="AC16" i="3"/>
  <c r="O37" i="5"/>
  <c r="O39" i="5" s="1"/>
  <c r="O50" i="5" s="1"/>
  <c r="O60" i="5" s="1"/>
  <c r="O64" i="5" s="1"/>
  <c r="AO32" i="5"/>
  <c r="AP32" i="5" s="1"/>
  <c r="AR32" i="5" s="1"/>
  <c r="P32" i="5"/>
  <c r="N34" i="2"/>
  <c r="P388" i="1"/>
  <c r="R388" i="1" s="1"/>
  <c r="M131" i="3"/>
  <c r="M76" i="3"/>
  <c r="M81" i="3" s="1"/>
  <c r="M36" i="3"/>
  <c r="M47" i="3" s="1"/>
  <c r="M57" i="3" s="1"/>
  <c r="CM45" i="2"/>
  <c r="M176" i="2"/>
  <c r="N418" i="1"/>
  <c r="N26" i="3" s="1"/>
  <c r="N153" i="3" s="1"/>
  <c r="AN35" i="5" s="1"/>
  <c r="N67" i="2"/>
  <c r="O401" i="1"/>
  <c r="O416" i="1" s="1"/>
  <c r="AO144" i="2"/>
  <c r="AO149" i="2" s="1"/>
  <c r="AP141" i="2"/>
  <c r="AP144" i="2" s="1"/>
  <c r="AP149" i="2" s="1"/>
  <c r="AQ237" i="3" l="1"/>
  <c r="AJ237" i="3"/>
  <c r="CO74" i="2"/>
  <c r="O192" i="2"/>
  <c r="AQ18" i="3"/>
  <c r="AJ18" i="3"/>
  <c r="AC147" i="3"/>
  <c r="O120" i="2"/>
  <c r="O173" i="2"/>
  <c r="O196" i="3"/>
  <c r="P196" i="3" s="1"/>
  <c r="P346" i="3"/>
  <c r="R346" i="3" s="1"/>
  <c r="I274" i="1"/>
  <c r="I509" i="1"/>
  <c r="I510" i="1" s="1"/>
  <c r="AQ245" i="3"/>
  <c r="AQ25" i="5"/>
  <c r="AQ39" i="5" s="1"/>
  <c r="AQ50" i="5" s="1"/>
  <c r="AQ60" i="5" s="1"/>
  <c r="AM13" i="5"/>
  <c r="M134" i="3"/>
  <c r="M143" i="3" s="1"/>
  <c r="L155" i="3"/>
  <c r="L157" i="3" s="1"/>
  <c r="L168" i="3" s="1"/>
  <c r="L178" i="3" s="1"/>
  <c r="AL28" i="5"/>
  <c r="P99" i="1"/>
  <c r="R99" i="1" s="1"/>
  <c r="AQ151" i="3"/>
  <c r="AJ151" i="3"/>
  <c r="M86" i="3"/>
  <c r="M113" i="3" s="1"/>
  <c r="M115" i="3" s="1"/>
  <c r="M146" i="3"/>
  <c r="M243" i="3"/>
  <c r="M245" i="3" s="1"/>
  <c r="M239" i="3"/>
  <c r="M237" i="3" s="1"/>
  <c r="O258" i="3"/>
  <c r="P15" i="1"/>
  <c r="R15" i="1" s="1"/>
  <c r="AQ137" i="3"/>
  <c r="AJ137" i="3"/>
  <c r="CN63" i="2"/>
  <c r="N128" i="2"/>
  <c r="O22" i="3"/>
  <c r="P22" i="3" s="1"/>
  <c r="P343" i="1"/>
  <c r="R343" i="1" s="1"/>
  <c r="AQ76" i="3"/>
  <c r="AQ81" i="3" s="1"/>
  <c r="AJ76" i="3"/>
  <c r="AJ81" i="3" s="1"/>
  <c r="AC81" i="3"/>
  <c r="CM14" i="2"/>
  <c r="M116" i="2"/>
  <c r="M170" i="2"/>
  <c r="AJ64" i="5"/>
  <c r="N186" i="2"/>
  <c r="O21" i="3"/>
  <c r="P21" i="3" s="1"/>
  <c r="P65" i="1"/>
  <c r="R65" i="1" s="1"/>
  <c r="N78" i="3"/>
  <c r="N138" i="3"/>
  <c r="AN20" i="5" s="1"/>
  <c r="M137" i="3"/>
  <c r="AM19" i="5" s="1"/>
  <c r="M92" i="3"/>
  <c r="CO12" i="2"/>
  <c r="O114" i="2"/>
  <c r="O168" i="2"/>
  <c r="J186" i="1"/>
  <c r="K180" i="1"/>
  <c r="J23" i="2"/>
  <c r="J44" i="2"/>
  <c r="J295" i="3"/>
  <c r="AQ16" i="3"/>
  <c r="AQ36" i="3" s="1"/>
  <c r="AQ47" i="3" s="1"/>
  <c r="AQ57" i="3" s="1"/>
  <c r="AJ16" i="3"/>
  <c r="AJ36" i="3" s="1"/>
  <c r="AJ47" i="3" s="1"/>
  <c r="AJ57" i="3" s="1"/>
  <c r="AC146" i="3"/>
  <c r="AC36" i="3"/>
  <c r="AC47" i="3" s="1"/>
  <c r="AC57" i="3" s="1"/>
  <c r="CO62" i="2"/>
  <c r="CO19" i="2"/>
  <c r="O118" i="2"/>
  <c r="P118" i="2" s="1"/>
  <c r="O172" i="2"/>
  <c r="O418" i="1"/>
  <c r="P418" i="1" s="1"/>
  <c r="R418" i="1" s="1"/>
  <c r="O67" i="2"/>
  <c r="O17" i="1"/>
  <c r="O33" i="1" s="1"/>
  <c r="N35" i="1"/>
  <c r="N16" i="3" s="1"/>
  <c r="N13" i="2"/>
  <c r="CN64" i="2"/>
  <c r="N188" i="2"/>
  <c r="N129" i="2"/>
  <c r="K113" i="3"/>
  <c r="K115" i="3" s="1"/>
  <c r="AC86" i="3"/>
  <c r="K94" i="3"/>
  <c r="K102" i="3" s="1"/>
  <c r="CI38" i="2"/>
  <c r="CI40" i="2" s="1"/>
  <c r="CI52" i="2" s="1"/>
  <c r="CI98" i="2" s="1"/>
  <c r="I40" i="2"/>
  <c r="O63" i="2"/>
  <c r="O186" i="2" s="1"/>
  <c r="O368" i="1"/>
  <c r="AQ62" i="5"/>
  <c r="AC143" i="3"/>
  <c r="P146" i="1"/>
  <c r="R146" i="1" s="1"/>
  <c r="O29" i="3"/>
  <c r="L252" i="1"/>
  <c r="K270" i="1"/>
  <c r="K47" i="2"/>
  <c r="K320" i="3"/>
  <c r="M148" i="1"/>
  <c r="L163" i="1"/>
  <c r="L37" i="2"/>
  <c r="L276" i="3"/>
  <c r="J450" i="1"/>
  <c r="K440" i="1"/>
  <c r="J75" i="2"/>
  <c r="J340" i="3"/>
  <c r="J504" i="1"/>
  <c r="J506" i="1" s="1"/>
  <c r="Q506" i="1" s="1"/>
  <c r="CI95" i="2"/>
  <c r="M94" i="3"/>
  <c r="M102" i="3" s="1"/>
  <c r="I52" i="2"/>
  <c r="CM13" i="2"/>
  <c r="M115" i="2"/>
  <c r="M169" i="2"/>
  <c r="AM23" i="5"/>
  <c r="CN67" i="2"/>
  <c r="AQ92" i="3"/>
  <c r="AJ92" i="3"/>
  <c r="O378" i="1"/>
  <c r="O64" i="2"/>
  <c r="AJ153" i="3"/>
  <c r="AQ153" i="3"/>
  <c r="CO66" i="2"/>
  <c r="P17" i="3"/>
  <c r="L94" i="3"/>
  <c r="L102" i="3" s="1"/>
  <c r="O463" i="1"/>
  <c r="O473" i="1" s="1"/>
  <c r="N475" i="1"/>
  <c r="N14" i="2"/>
  <c r="R24" i="3"/>
  <c r="R149" i="3" s="1"/>
  <c r="P149" i="3"/>
  <c r="AB149" i="3" s="1"/>
  <c r="AB24" i="3"/>
  <c r="L478" i="1"/>
  <c r="K81" i="2"/>
  <c r="K487" i="1"/>
  <c r="K59" i="3" s="1"/>
  <c r="K61" i="3" s="1"/>
  <c r="K355" i="3"/>
  <c r="CN45" i="2"/>
  <c r="N176" i="2"/>
  <c r="M69" i="2"/>
  <c r="CM59" i="2"/>
  <c r="CM69" i="2" s="1"/>
  <c r="M185" i="2"/>
  <c r="M196" i="2" s="1"/>
  <c r="M127" i="2"/>
  <c r="AQ138" i="3"/>
  <c r="AQ143" i="3" s="1"/>
  <c r="AJ138" i="3"/>
  <c r="AC198" i="3"/>
  <c r="AJ195" i="3"/>
  <c r="AJ198" i="3" s="1"/>
  <c r="AQ195" i="3"/>
  <c r="AQ198" i="3" s="1"/>
  <c r="O23" i="3"/>
  <c r="P23" i="3" s="1"/>
  <c r="P74" i="1"/>
  <c r="R74" i="1" s="1"/>
  <c r="O279" i="1"/>
  <c r="O299" i="1" s="1"/>
  <c r="N301" i="1"/>
  <c r="N18" i="3" s="1"/>
  <c r="N59" i="2"/>
  <c r="AO120" i="2"/>
  <c r="AO173" i="2"/>
  <c r="AO181" i="2" s="1"/>
  <c r="AO208" i="2" s="1"/>
  <c r="K188" i="1"/>
  <c r="J194" i="1"/>
  <c r="J46" i="2"/>
  <c r="CJ46" i="2" s="1"/>
  <c r="J301" i="3"/>
  <c r="J500" i="1"/>
  <c r="J357" i="3"/>
  <c r="Q109" i="3"/>
  <c r="Q184" i="3"/>
  <c r="N120" i="2"/>
  <c r="N173" i="2"/>
  <c r="AJ66" i="5"/>
  <c r="N131" i="3"/>
  <c r="N76" i="3"/>
  <c r="N81" i="3" s="1"/>
  <c r="AB19" i="3"/>
  <c r="R19" i="3"/>
  <c r="J176" i="1"/>
  <c r="J278" i="3"/>
  <c r="AK37" i="5"/>
  <c r="AK39" i="5" s="1"/>
  <c r="AK50" i="5" s="1"/>
  <c r="AK60" i="5" s="1"/>
  <c r="AJ143" i="3"/>
  <c r="N33" i="3"/>
  <c r="N195" i="3"/>
  <c r="N198" i="3" s="1"/>
  <c r="O42" i="3"/>
  <c r="P261" i="3"/>
  <c r="R261" i="3" s="1"/>
  <c r="N241" i="3"/>
  <c r="N141" i="3"/>
  <c r="R32" i="5"/>
  <c r="R37" i="5" s="1"/>
  <c r="R39" i="5" s="1"/>
  <c r="R50" i="5" s="1"/>
  <c r="R60" i="5" s="1"/>
  <c r="R64" i="5" s="1"/>
  <c r="P37" i="5"/>
  <c r="P39" i="5" s="1"/>
  <c r="P50" i="5" s="1"/>
  <c r="P60" i="5" s="1"/>
  <c r="P64" i="5" s="1"/>
  <c r="Q182" i="3"/>
  <c r="K155" i="3"/>
  <c r="K157" i="3" s="1"/>
  <c r="K168" i="3" s="1"/>
  <c r="K178" i="3" s="1"/>
  <c r="CI90" i="2"/>
  <c r="CI92" i="2" s="1"/>
  <c r="I141" i="2"/>
  <c r="I144" i="2" s="1"/>
  <c r="I149" i="2" s="1"/>
  <c r="I92" i="2"/>
  <c r="I201" i="2" s="1"/>
  <c r="I203" i="2" s="1"/>
  <c r="I205" i="2" s="1"/>
  <c r="O249" i="1"/>
  <c r="O45" i="2"/>
  <c r="CN13" i="2" l="1"/>
  <c r="N169" i="2"/>
  <c r="N115" i="2"/>
  <c r="M155" i="3"/>
  <c r="AM28" i="5"/>
  <c r="AM37" i="5" s="1"/>
  <c r="O129" i="2"/>
  <c r="P129" i="2" s="1"/>
  <c r="CO64" i="2"/>
  <c r="O188" i="2"/>
  <c r="M161" i="1"/>
  <c r="M263" i="3"/>
  <c r="N86" i="3"/>
  <c r="N113" i="3" s="1"/>
  <c r="N115" i="3" s="1"/>
  <c r="N146" i="3"/>
  <c r="R196" i="3"/>
  <c r="AB196" i="3"/>
  <c r="I95" i="2"/>
  <c r="N245" i="3"/>
  <c r="AN23" i="5"/>
  <c r="N36" i="3"/>
  <c r="N47" i="3" s="1"/>
  <c r="N57" i="3" s="1"/>
  <c r="K192" i="1"/>
  <c r="K297" i="3"/>
  <c r="AB23" i="3"/>
  <c r="R23" i="3"/>
  <c r="L485" i="1"/>
  <c r="L348" i="3"/>
  <c r="R17" i="3"/>
  <c r="AB17" i="3"/>
  <c r="P153" i="3"/>
  <c r="AB153" i="3" s="1"/>
  <c r="P378" i="1"/>
  <c r="R378" i="1" s="1"/>
  <c r="O13" i="3"/>
  <c r="CJ75" i="2"/>
  <c r="CJ77" i="2" s="1"/>
  <c r="J77" i="2"/>
  <c r="J131" i="2"/>
  <c r="J133" i="2" s="1"/>
  <c r="J194" i="2"/>
  <c r="O35" i="1"/>
  <c r="O13" i="2"/>
  <c r="AC94" i="3"/>
  <c r="AC102" i="3" s="1"/>
  <c r="M157" i="3"/>
  <c r="M168" i="3" s="1"/>
  <c r="M178" i="3" s="1"/>
  <c r="K200" i="2"/>
  <c r="CK81" i="2"/>
  <c r="CK84" i="2" s="1"/>
  <c r="K84" i="2"/>
  <c r="K138" i="2"/>
  <c r="K140" i="2" s="1"/>
  <c r="AQ86" i="3"/>
  <c r="AQ113" i="3" s="1"/>
  <c r="AQ115" i="3" s="1"/>
  <c r="AJ86" i="3"/>
  <c r="AJ113" i="3" s="1"/>
  <c r="AJ115" i="3" s="1"/>
  <c r="AC113" i="3"/>
  <c r="AC115" i="3" s="1"/>
  <c r="P114" i="2"/>
  <c r="AM16" i="5"/>
  <c r="AM25" i="5" s="1"/>
  <c r="N243" i="3"/>
  <c r="N239" i="3"/>
  <c r="N237" i="3" s="1"/>
  <c r="N94" i="3"/>
  <c r="N102" i="3" s="1"/>
  <c r="AK24" i="3"/>
  <c r="G396" i="3" s="1"/>
  <c r="AN24" i="3"/>
  <c r="G469" i="3" s="1"/>
  <c r="AD24" i="3"/>
  <c r="K448" i="1"/>
  <c r="K332" i="3"/>
  <c r="CK47" i="2"/>
  <c r="K179" i="2"/>
  <c r="AQ64" i="5"/>
  <c r="P120" i="2"/>
  <c r="AN19" i="3"/>
  <c r="G501" i="3" s="1"/>
  <c r="AK19" i="3"/>
  <c r="G428" i="3" s="1"/>
  <c r="AD19" i="3"/>
  <c r="O78" i="3"/>
  <c r="P78" i="3" s="1"/>
  <c r="O138" i="3"/>
  <c r="AO20" i="5" s="1"/>
  <c r="AP20" i="5" s="1"/>
  <c r="AR20" i="5" s="1"/>
  <c r="P29" i="3"/>
  <c r="O301" i="1"/>
  <c r="O59" i="2"/>
  <c r="O475" i="1"/>
  <c r="P475" i="1" s="1"/>
  <c r="R475" i="1" s="1"/>
  <c r="O14" i="2"/>
  <c r="AN13" i="5"/>
  <c r="AN16" i="5" s="1"/>
  <c r="N134" i="3"/>
  <c r="J502" i="1"/>
  <c r="K490" i="1"/>
  <c r="J90" i="2"/>
  <c r="J367" i="3"/>
  <c r="AO123" i="2"/>
  <c r="AO151" i="2" s="1"/>
  <c r="AP120" i="2"/>
  <c r="AP123" i="2" s="1"/>
  <c r="AN149" i="3"/>
  <c r="AD149" i="3"/>
  <c r="AK149" i="3"/>
  <c r="O25" i="3"/>
  <c r="P368" i="1"/>
  <c r="R368" i="1" s="1"/>
  <c r="J49" i="2"/>
  <c r="J121" i="2" s="1"/>
  <c r="CJ44" i="2"/>
  <c r="CJ49" i="2" s="1"/>
  <c r="R21" i="3"/>
  <c r="AB21" i="3"/>
  <c r="O34" i="3"/>
  <c r="O201" i="3"/>
  <c r="P258" i="3"/>
  <c r="R258" i="3" s="1"/>
  <c r="AQ147" i="3"/>
  <c r="AJ147" i="3"/>
  <c r="N137" i="3"/>
  <c r="AN19" i="5" s="1"/>
  <c r="N92" i="3"/>
  <c r="CL37" i="2"/>
  <c r="K104" i="3"/>
  <c r="K180" i="3"/>
  <c r="AK62" i="5" s="1"/>
  <c r="AK64" i="5" s="1"/>
  <c r="K106" i="3"/>
  <c r="K109" i="3" s="1"/>
  <c r="CO45" i="2"/>
  <c r="O176" i="2"/>
  <c r="O163" i="3"/>
  <c r="O45" i="3"/>
  <c r="P42" i="3"/>
  <c r="K165" i="1"/>
  <c r="J178" i="1"/>
  <c r="J38" i="2"/>
  <c r="J289" i="3"/>
  <c r="J272" i="1"/>
  <c r="N69" i="2"/>
  <c r="CN59" i="2"/>
  <c r="CN69" i="2" s="1"/>
  <c r="N185" i="2"/>
  <c r="N196" i="2" s="1"/>
  <c r="N127" i="2"/>
  <c r="I98" i="2"/>
  <c r="L268" i="1"/>
  <c r="L304" i="3"/>
  <c r="CO63" i="2"/>
  <c r="O128" i="2"/>
  <c r="P128" i="2" s="1"/>
  <c r="CO67" i="2"/>
  <c r="CJ23" i="2"/>
  <c r="CJ26" i="2" s="1"/>
  <c r="J177" i="2"/>
  <c r="J26" i="2"/>
  <c r="O26" i="3"/>
  <c r="P26" i="3" s="1"/>
  <c r="N147" i="3"/>
  <c r="AN29" i="5" s="1"/>
  <c r="AC155" i="3"/>
  <c r="AC157" i="3" s="1"/>
  <c r="AC168" i="3" s="1"/>
  <c r="AC178" i="3" s="1"/>
  <c r="AQ146" i="3"/>
  <c r="AQ155" i="3" s="1"/>
  <c r="AQ157" i="3" s="1"/>
  <c r="AQ168" i="3" s="1"/>
  <c r="AQ178" i="3" s="1"/>
  <c r="AJ146" i="3"/>
  <c r="AJ155" i="3" s="1"/>
  <c r="AJ157" i="3" s="1"/>
  <c r="AJ168" i="3" s="1"/>
  <c r="AJ178" i="3" s="1"/>
  <c r="O343" i="3"/>
  <c r="P249" i="1"/>
  <c r="R249" i="1" s="1"/>
  <c r="AQ66" i="5"/>
  <c r="CN14" i="2"/>
  <c r="N116" i="2"/>
  <c r="N170" i="2"/>
  <c r="I119" i="2"/>
  <c r="I123" i="2" s="1"/>
  <c r="I151" i="2" s="1"/>
  <c r="I174" i="2"/>
  <c r="I181" i="2" s="1"/>
  <c r="I208" i="2" s="1"/>
  <c r="K184" i="1"/>
  <c r="K291" i="3"/>
  <c r="AB22" i="3"/>
  <c r="R22" i="3"/>
  <c r="AL37" i="5"/>
  <c r="AL39" i="5" s="1"/>
  <c r="AL50" i="5" s="1"/>
  <c r="AL60" i="5" s="1"/>
  <c r="K176" i="1" l="1"/>
  <c r="K278" i="3"/>
  <c r="O16" i="3"/>
  <c r="P35" i="1"/>
  <c r="R35" i="1" s="1"/>
  <c r="AK153" i="3"/>
  <c r="AN153" i="3"/>
  <c r="AD153" i="3"/>
  <c r="N155" i="3"/>
  <c r="AN28" i="5"/>
  <c r="AN37" i="5" s="1"/>
  <c r="CJ90" i="2"/>
  <c r="CJ92" i="2" s="1"/>
  <c r="J141" i="2"/>
  <c r="J144" i="2" s="1"/>
  <c r="J149" i="2" s="1"/>
  <c r="J92" i="2"/>
  <c r="J201" i="2" s="1"/>
  <c r="J203" i="2" s="1"/>
  <c r="J205" i="2" s="1"/>
  <c r="L440" i="1"/>
  <c r="K450" i="1"/>
  <c r="K75" i="2"/>
  <c r="K340" i="3"/>
  <c r="AO45" i="5"/>
  <c r="O166" i="3"/>
  <c r="O141" i="3"/>
  <c r="O241" i="3"/>
  <c r="P34" i="3"/>
  <c r="K500" i="1"/>
  <c r="K357" i="3"/>
  <c r="O220" i="3"/>
  <c r="P201" i="3"/>
  <c r="O151" i="3"/>
  <c r="AO33" i="5" s="1"/>
  <c r="AP33" i="5" s="1"/>
  <c r="AR33" i="5" s="1"/>
  <c r="P25" i="3"/>
  <c r="O69" i="2"/>
  <c r="O127" i="2"/>
  <c r="CO59" i="2"/>
  <c r="CO69" i="2" s="1"/>
  <c r="O185" i="2"/>
  <c r="O196" i="2" s="1"/>
  <c r="AK17" i="3"/>
  <c r="G390" i="3" s="1"/>
  <c r="AN17" i="3"/>
  <c r="G463" i="3" s="1"/>
  <c r="AD17" i="3"/>
  <c r="L188" i="1"/>
  <c r="K194" i="1"/>
  <c r="K46" i="2"/>
  <c r="CK46" i="2" s="1"/>
  <c r="K301" i="3"/>
  <c r="K186" i="1"/>
  <c r="L180" i="1"/>
  <c r="K23" i="2"/>
  <c r="K44" i="2"/>
  <c r="K295" i="3"/>
  <c r="R26" i="3"/>
  <c r="R153" i="3" s="1"/>
  <c r="AB26" i="3"/>
  <c r="J274" i="1"/>
  <c r="Q274" i="1" s="1"/>
  <c r="J509" i="1"/>
  <c r="J510" i="1" s="1"/>
  <c r="AQ94" i="3"/>
  <c r="AQ102" i="3" s="1"/>
  <c r="O18" i="3"/>
  <c r="P301" i="1"/>
  <c r="R301" i="1" s="1"/>
  <c r="O153" i="3"/>
  <c r="AO35" i="5" s="1"/>
  <c r="AP35" i="5" s="1"/>
  <c r="AR35" i="5" s="1"/>
  <c r="J95" i="2"/>
  <c r="N148" i="1"/>
  <c r="M163" i="1"/>
  <c r="M37" i="2"/>
  <c r="M276" i="3"/>
  <c r="K182" i="3"/>
  <c r="CJ52" i="2"/>
  <c r="CJ98" i="2" s="1"/>
  <c r="AN23" i="3"/>
  <c r="G467" i="3" s="1"/>
  <c r="AK23" i="3"/>
  <c r="G394" i="3" s="1"/>
  <c r="AD23" i="3"/>
  <c r="O33" i="3"/>
  <c r="O195" i="3"/>
  <c r="P343" i="3"/>
  <c r="R343" i="3" s="1"/>
  <c r="AK21" i="3"/>
  <c r="G393" i="3" s="1"/>
  <c r="AN21" i="3"/>
  <c r="G466" i="3" s="1"/>
  <c r="AD21" i="3"/>
  <c r="N143" i="3"/>
  <c r="N157" i="3" s="1"/>
  <c r="N168" i="3" s="1"/>
  <c r="N178" i="3" s="1"/>
  <c r="R29" i="3"/>
  <c r="R138" i="3" s="1"/>
  <c r="P138" i="3"/>
  <c r="AB138" i="3" s="1"/>
  <c r="AB29" i="3"/>
  <c r="AJ94" i="3"/>
  <c r="AJ102" i="3" s="1"/>
  <c r="AM39" i="5"/>
  <c r="AM50" i="5" s="1"/>
  <c r="AM60" i="5" s="1"/>
  <c r="CJ95" i="2"/>
  <c r="M478" i="1"/>
  <c r="L487" i="1"/>
  <c r="L59" i="3" s="1"/>
  <c r="L81" i="2"/>
  <c r="L355" i="3"/>
  <c r="CO14" i="2"/>
  <c r="O116" i="2"/>
  <c r="P116" i="2" s="1"/>
  <c r="O170" i="2"/>
  <c r="AD22" i="3"/>
  <c r="AK22" i="3"/>
  <c r="AN22" i="3"/>
  <c r="R42" i="3"/>
  <c r="AB42" i="3"/>
  <c r="P163" i="3"/>
  <c r="P45" i="3"/>
  <c r="M252" i="1"/>
  <c r="L270" i="1"/>
  <c r="L47" i="2"/>
  <c r="L320" i="3"/>
  <c r="CJ38" i="2"/>
  <c r="CJ40" i="2" s="1"/>
  <c r="J40" i="2"/>
  <c r="J52" i="2" s="1"/>
  <c r="J98" i="2" s="1"/>
  <c r="AN25" i="5"/>
  <c r="AN39" i="5" s="1"/>
  <c r="AN50" i="5" s="1"/>
  <c r="AN60" i="5" s="1"/>
  <c r="AB78" i="3"/>
  <c r="R78" i="3"/>
  <c r="CO13" i="2"/>
  <c r="O169" i="2"/>
  <c r="O115" i="2"/>
  <c r="O131" i="3"/>
  <c r="O76" i="3"/>
  <c r="O36" i="3"/>
  <c r="O47" i="3" s="1"/>
  <c r="O57" i="3" s="1"/>
  <c r="P13" i="3"/>
  <c r="AK196" i="3"/>
  <c r="AN196" i="3"/>
  <c r="AD196" i="3"/>
  <c r="AK26" i="3" l="1"/>
  <c r="G398" i="3" s="1"/>
  <c r="AN26" i="3"/>
  <c r="G471" i="3" s="1"/>
  <c r="AD26" i="3"/>
  <c r="P127" i="2"/>
  <c r="P133" i="2" s="1"/>
  <c r="CL47" i="2"/>
  <c r="L179" i="2"/>
  <c r="AK66" i="5"/>
  <c r="K184" i="3"/>
  <c r="K502" i="1"/>
  <c r="L490" i="1"/>
  <c r="K90" i="2"/>
  <c r="K367" i="3"/>
  <c r="O81" i="3"/>
  <c r="P76" i="3"/>
  <c r="AD29" i="3"/>
  <c r="AK29" i="3"/>
  <c r="AN29" i="3"/>
  <c r="O198" i="3"/>
  <c r="P195" i="3"/>
  <c r="K504" i="1"/>
  <c r="K506" i="1" s="1"/>
  <c r="L138" i="2"/>
  <c r="L140" i="2" s="1"/>
  <c r="CL81" i="2"/>
  <c r="CL84" i="2" s="1"/>
  <c r="L84" i="2"/>
  <c r="L200" i="2"/>
  <c r="AK138" i="3"/>
  <c r="AN138" i="3"/>
  <c r="AD138" i="3"/>
  <c r="O137" i="3"/>
  <c r="AO19" i="5" s="1"/>
  <c r="AP19" i="5" s="1"/>
  <c r="AR19" i="5" s="1"/>
  <c r="P33" i="3"/>
  <c r="O92" i="3"/>
  <c r="P92" i="3" s="1"/>
  <c r="K49" i="2"/>
  <c r="K121" i="2" s="1"/>
  <c r="CK44" i="2"/>
  <c r="CK49" i="2" s="1"/>
  <c r="O243" i="3"/>
  <c r="O245" i="3" s="1"/>
  <c r="O239" i="3"/>
  <c r="O237" i="3" s="1"/>
  <c r="P237" i="3" s="1"/>
  <c r="P115" i="2"/>
  <c r="R13" i="3"/>
  <c r="AB13" i="3"/>
  <c r="P131" i="3"/>
  <c r="AD42" i="3"/>
  <c r="AD45" i="3" s="1"/>
  <c r="AN42" i="3"/>
  <c r="AK42" i="3"/>
  <c r="AB45" i="3"/>
  <c r="R163" i="3"/>
  <c r="R166" i="3" s="1"/>
  <c r="R45" i="3"/>
  <c r="AK78" i="3"/>
  <c r="AN78" i="3"/>
  <c r="AD78" i="3"/>
  <c r="L192" i="1"/>
  <c r="L297" i="3"/>
  <c r="AB25" i="3"/>
  <c r="R25" i="3"/>
  <c r="R151" i="3" s="1"/>
  <c r="P151" i="3"/>
  <c r="AB151" i="3" s="1"/>
  <c r="R34" i="3"/>
  <c r="AB34" i="3"/>
  <c r="P141" i="3"/>
  <c r="P241" i="3"/>
  <c r="O86" i="3"/>
  <c r="O146" i="3"/>
  <c r="P16" i="3"/>
  <c r="P36" i="3" s="1"/>
  <c r="P47" i="3" s="1"/>
  <c r="AO13" i="5"/>
  <c r="O134" i="3"/>
  <c r="M268" i="1"/>
  <c r="M304" i="3"/>
  <c r="L104" i="3"/>
  <c r="L180" i="3"/>
  <c r="AC59" i="3"/>
  <c r="L61" i="3"/>
  <c r="O147" i="3"/>
  <c r="AO29" i="5" s="1"/>
  <c r="AP29" i="5" s="1"/>
  <c r="AR29" i="5" s="1"/>
  <c r="P18" i="3"/>
  <c r="CK23" i="2"/>
  <c r="CK26" i="2" s="1"/>
  <c r="K177" i="2"/>
  <c r="K26" i="2"/>
  <c r="AB201" i="3"/>
  <c r="P220" i="3"/>
  <c r="R201" i="3"/>
  <c r="R220" i="3" s="1"/>
  <c r="AO23" i="5"/>
  <c r="AP23" i="5" s="1"/>
  <c r="AR23" i="5" s="1"/>
  <c r="CK75" i="2"/>
  <c r="CK77" i="2" s="1"/>
  <c r="K131" i="2"/>
  <c r="K133" i="2" s="1"/>
  <c r="K77" i="2"/>
  <c r="K194" i="2"/>
  <c r="L165" i="1"/>
  <c r="K178" i="1"/>
  <c r="K38" i="2"/>
  <c r="K289" i="3"/>
  <c r="K272" i="1"/>
  <c r="CM37" i="2"/>
  <c r="L184" i="1"/>
  <c r="L291" i="3"/>
  <c r="M485" i="1"/>
  <c r="M348" i="3"/>
  <c r="J119" i="2"/>
  <c r="J123" i="2" s="1"/>
  <c r="J151" i="2" s="1"/>
  <c r="J174" i="2"/>
  <c r="J181" i="2" s="1"/>
  <c r="J208" i="2" s="1"/>
  <c r="L448" i="1"/>
  <c r="L332" i="3"/>
  <c r="AB163" i="3"/>
  <c r="P166" i="3"/>
  <c r="N161" i="1"/>
  <c r="N263" i="3"/>
  <c r="AO48" i="5"/>
  <c r="AP45" i="5"/>
  <c r="P57" i="3" l="1"/>
  <c r="D423" i="3"/>
  <c r="D496" i="3"/>
  <c r="O148" i="1"/>
  <c r="N163" i="1"/>
  <c r="N37" i="2"/>
  <c r="N276" i="3"/>
  <c r="K95" i="2"/>
  <c r="P243" i="3"/>
  <c r="P245" i="3" s="1"/>
  <c r="P239" i="3"/>
  <c r="R237" i="3"/>
  <c r="AB237" i="3"/>
  <c r="AK163" i="3"/>
  <c r="AK166" i="3" s="1"/>
  <c r="AN163" i="3"/>
  <c r="AN166" i="3" s="1"/>
  <c r="AD163" i="3"/>
  <c r="AD166" i="3" s="1"/>
  <c r="AB166" i="3"/>
  <c r="M270" i="1"/>
  <c r="N252" i="1"/>
  <c r="M47" i="2"/>
  <c r="M320" i="3"/>
  <c r="R18" i="3"/>
  <c r="R147" i="3" s="1"/>
  <c r="P147" i="3"/>
  <c r="AB147" i="3" s="1"/>
  <c r="AB18" i="3"/>
  <c r="O143" i="3"/>
  <c r="R241" i="3"/>
  <c r="R141" i="3"/>
  <c r="AL62" i="5"/>
  <c r="AL64" i="5" s="1"/>
  <c r="L182" i="3"/>
  <c r="AL66" i="5" s="1"/>
  <c r="CK90" i="2"/>
  <c r="CK92" i="2" s="1"/>
  <c r="CK95" i="2" s="1"/>
  <c r="K141" i="2"/>
  <c r="K144" i="2" s="1"/>
  <c r="K149" i="2" s="1"/>
  <c r="K92" i="2"/>
  <c r="K201" i="2" s="1"/>
  <c r="K203" i="2" s="1"/>
  <c r="K205" i="2" s="1"/>
  <c r="AB141" i="3"/>
  <c r="G493" i="3"/>
  <c r="I494" i="3" s="1"/>
  <c r="AN45" i="3"/>
  <c r="L500" i="1"/>
  <c r="L504" i="1" s="1"/>
  <c r="L506" i="1" s="1"/>
  <c r="L357" i="3"/>
  <c r="K274" i="1"/>
  <c r="K509" i="1"/>
  <c r="K510" i="1" s="1"/>
  <c r="AK34" i="3"/>
  <c r="AN34" i="3"/>
  <c r="AD34" i="3"/>
  <c r="AD241" i="3" s="1"/>
  <c r="AB241" i="3"/>
  <c r="AR45" i="5"/>
  <c r="AR48" i="5" s="1"/>
  <c r="AP48" i="5"/>
  <c r="CK38" i="2"/>
  <c r="CK40" i="2" s="1"/>
  <c r="CK52" i="2" s="1"/>
  <c r="CK98" i="2" s="1"/>
  <c r="K40" i="2"/>
  <c r="AO16" i="5"/>
  <c r="AO25" i="5" s="1"/>
  <c r="AP13" i="5"/>
  <c r="AD151" i="3"/>
  <c r="AK151" i="3"/>
  <c r="AN151" i="3"/>
  <c r="AB131" i="3"/>
  <c r="P134" i="3"/>
  <c r="L186" i="1"/>
  <c r="M180" i="1"/>
  <c r="L23" i="2"/>
  <c r="L44" i="2"/>
  <c r="L295" i="3"/>
  <c r="AK201" i="3"/>
  <c r="AK220" i="3" s="1"/>
  <c r="AN201" i="3"/>
  <c r="AN220" i="3" s="1"/>
  <c r="AD201" i="3"/>
  <c r="AD220" i="3" s="1"/>
  <c r="AB220" i="3"/>
  <c r="O113" i="3"/>
  <c r="O115" i="3" s="1"/>
  <c r="P86" i="3"/>
  <c r="K52" i="2"/>
  <c r="AC104" i="3"/>
  <c r="L106" i="3"/>
  <c r="L109" i="3" s="1"/>
  <c r="L194" i="1"/>
  <c r="M188" i="1"/>
  <c r="L46" i="2"/>
  <c r="CL46" i="2" s="1"/>
  <c r="L301" i="3"/>
  <c r="G420" i="3"/>
  <c r="I421" i="3" s="1"/>
  <c r="AK45" i="3"/>
  <c r="P198" i="3"/>
  <c r="R195" i="3"/>
  <c r="R198" i="3" s="1"/>
  <c r="AB195" i="3"/>
  <c r="L450" i="1"/>
  <c r="M440" i="1"/>
  <c r="L75" i="2"/>
  <c r="L340" i="3"/>
  <c r="M487" i="1"/>
  <c r="M59" i="3" s="1"/>
  <c r="N478" i="1"/>
  <c r="M81" i="2"/>
  <c r="M355" i="3"/>
  <c r="AB16" i="3"/>
  <c r="R16" i="3"/>
  <c r="R146" i="3" s="1"/>
  <c r="R155" i="3" s="1"/>
  <c r="P146" i="3"/>
  <c r="AK13" i="3"/>
  <c r="AN13" i="3"/>
  <c r="AD13" i="3"/>
  <c r="R92" i="3"/>
  <c r="AB92" i="3"/>
  <c r="R76" i="3"/>
  <c r="R81" i="3" s="1"/>
  <c r="AB76" i="3"/>
  <c r="P81" i="3"/>
  <c r="P94" i="3" s="1"/>
  <c r="P102" i="3" s="1"/>
  <c r="L176" i="1"/>
  <c r="L278" i="3"/>
  <c r="AJ59" i="3"/>
  <c r="AJ61" i="3" s="1"/>
  <c r="AQ59" i="3"/>
  <c r="AQ61" i="3" s="1"/>
  <c r="AC180" i="3"/>
  <c r="AC61" i="3"/>
  <c r="O155" i="3"/>
  <c r="AO28" i="5"/>
  <c r="AN25" i="3"/>
  <c r="G470" i="3" s="1"/>
  <c r="AD25" i="3"/>
  <c r="AK25" i="3"/>
  <c r="G397" i="3" s="1"/>
  <c r="R131" i="3"/>
  <c r="R134" i="3" s="1"/>
  <c r="AB33" i="3"/>
  <c r="R33" i="3"/>
  <c r="R137" i="3" s="1"/>
  <c r="P137" i="3"/>
  <c r="AB137" i="3" s="1"/>
  <c r="O94" i="3"/>
  <c r="O102" i="3" s="1"/>
  <c r="AK137" i="3" l="1"/>
  <c r="AN137" i="3"/>
  <c r="AD137" i="3"/>
  <c r="N485" i="1"/>
  <c r="N348" i="3"/>
  <c r="AN33" i="3"/>
  <c r="G479" i="3" s="1"/>
  <c r="AD33" i="3"/>
  <c r="AD36" i="3" s="1"/>
  <c r="AD47" i="3" s="1"/>
  <c r="AD57" i="3" s="1"/>
  <c r="AK33" i="3"/>
  <c r="G406" i="3" s="1"/>
  <c r="L49" i="2"/>
  <c r="L121" i="2" s="1"/>
  <c r="CL44" i="2"/>
  <c r="CL49" i="2" s="1"/>
  <c r="AJ180" i="3"/>
  <c r="AJ182" i="3" s="1"/>
  <c r="AJ184" i="3" s="1"/>
  <c r="AQ180" i="3"/>
  <c r="AQ182" i="3" s="1"/>
  <c r="AC182" i="3"/>
  <c r="AK16" i="3"/>
  <c r="G389" i="3" s="1"/>
  <c r="AN16" i="3"/>
  <c r="G462" i="3" s="1"/>
  <c r="AD16" i="3"/>
  <c r="CL23" i="2"/>
  <c r="CL26" i="2" s="1"/>
  <c r="L177" i="2"/>
  <c r="L26" i="2"/>
  <c r="G486" i="3"/>
  <c r="E486" i="3" s="1"/>
  <c r="AN241" i="3"/>
  <c r="AQ184" i="3"/>
  <c r="L184" i="3"/>
  <c r="AO39" i="5"/>
  <c r="AO50" i="5" s="1"/>
  <c r="AO60" i="5" s="1"/>
  <c r="CN37" i="2"/>
  <c r="AB36" i="3"/>
  <c r="AB47" i="3" s="1"/>
  <c r="AB57" i="3" s="1"/>
  <c r="M448" i="1"/>
  <c r="M332" i="3"/>
  <c r="K119" i="2"/>
  <c r="K123" i="2" s="1"/>
  <c r="K151" i="2" s="1"/>
  <c r="K174" i="2"/>
  <c r="K181" i="2" s="1"/>
  <c r="K208" i="2" s="1"/>
  <c r="AK141" i="3"/>
  <c r="AN141" i="3"/>
  <c r="AD141" i="3"/>
  <c r="AB245" i="3"/>
  <c r="CM47" i="2"/>
  <c r="M179" i="2"/>
  <c r="AD237" i="3"/>
  <c r="AN237" i="3"/>
  <c r="AK237" i="3"/>
  <c r="M104" i="3"/>
  <c r="M106" i="3" s="1"/>
  <c r="M180" i="3"/>
  <c r="M61" i="3"/>
  <c r="L502" i="1"/>
  <c r="M490" i="1"/>
  <c r="L90" i="2"/>
  <c r="L367" i="3"/>
  <c r="K98" i="2"/>
  <c r="AD239" i="3"/>
  <c r="AD243" i="3"/>
  <c r="AN147" i="3"/>
  <c r="AD147" i="3"/>
  <c r="AK147" i="3"/>
  <c r="R36" i="3"/>
  <c r="R47" i="3" s="1"/>
  <c r="R57" i="3" s="1"/>
  <c r="AD92" i="3"/>
  <c r="AK92" i="3"/>
  <c r="AN92" i="3"/>
  <c r="AB86" i="3"/>
  <c r="R86" i="3"/>
  <c r="R113" i="3" s="1"/>
  <c r="R115" i="3" s="1"/>
  <c r="P113" i="3"/>
  <c r="P115" i="3" s="1"/>
  <c r="AR13" i="5"/>
  <c r="AR16" i="5" s="1"/>
  <c r="AR25" i="5" s="1"/>
  <c r="AP16" i="5"/>
  <c r="AP25" i="5" s="1"/>
  <c r="R143" i="3"/>
  <c r="R157" i="3" s="1"/>
  <c r="R168" i="3" s="1"/>
  <c r="R178" i="3" s="1"/>
  <c r="CL75" i="2"/>
  <c r="CL77" i="2" s="1"/>
  <c r="L131" i="2"/>
  <c r="L133" i="2" s="1"/>
  <c r="L77" i="2"/>
  <c r="L194" i="2"/>
  <c r="M184" i="1"/>
  <c r="M291" i="3"/>
  <c r="G413" i="3"/>
  <c r="E413" i="3" s="1"/>
  <c r="AK241" i="3"/>
  <c r="M192" i="1"/>
  <c r="M297" i="3"/>
  <c r="P143" i="3"/>
  <c r="P157" i="3" s="1"/>
  <c r="P168" i="3" s="1"/>
  <c r="P178" i="3" s="1"/>
  <c r="R245" i="3"/>
  <c r="N268" i="1"/>
  <c r="N304" i="3"/>
  <c r="O161" i="1"/>
  <c r="O263" i="3"/>
  <c r="AN76" i="3"/>
  <c r="AN81" i="3" s="1"/>
  <c r="AD76" i="3"/>
  <c r="AD81" i="3" s="1"/>
  <c r="AK76" i="3"/>
  <c r="AK81" i="3" s="1"/>
  <c r="AB81" i="3"/>
  <c r="AB94" i="3" s="1"/>
  <c r="AB102" i="3" s="1"/>
  <c r="AJ104" i="3"/>
  <c r="AJ106" i="3" s="1"/>
  <c r="AJ109" i="3" s="1"/>
  <c r="AQ104" i="3"/>
  <c r="AQ106" i="3" s="1"/>
  <c r="AQ109" i="3" s="1"/>
  <c r="AC106" i="3"/>
  <c r="AC109" i="3" s="1"/>
  <c r="AC184" i="3"/>
  <c r="M165" i="1"/>
  <c r="L178" i="1"/>
  <c r="L38" i="2"/>
  <c r="L289" i="3"/>
  <c r="L272" i="1"/>
  <c r="G458" i="3"/>
  <c r="M138" i="2"/>
  <c r="M140" i="2" s="1"/>
  <c r="CM81" i="2"/>
  <c r="CM84" i="2" s="1"/>
  <c r="M84" i="2"/>
  <c r="M200" i="2"/>
  <c r="AK195" i="3"/>
  <c r="AK198" i="3" s="1"/>
  <c r="AN195" i="3"/>
  <c r="AN198" i="3" s="1"/>
  <c r="AD195" i="3"/>
  <c r="AD198" i="3" s="1"/>
  <c r="AB198" i="3"/>
  <c r="AK131" i="3"/>
  <c r="AK134" i="3" s="1"/>
  <c r="AN131" i="3"/>
  <c r="AN134" i="3" s="1"/>
  <c r="AN143" i="3" s="1"/>
  <c r="AD131" i="3"/>
  <c r="AD134" i="3" s="1"/>
  <c r="AD143" i="3" s="1"/>
  <c r="AB134" i="3"/>
  <c r="AB143" i="3" s="1"/>
  <c r="R239" i="3"/>
  <c r="R243" i="3"/>
  <c r="O157" i="3"/>
  <c r="O168" i="3" s="1"/>
  <c r="O178" i="3" s="1"/>
  <c r="AO37" i="5"/>
  <c r="AP28" i="5"/>
  <c r="G385" i="3"/>
  <c r="AK36" i="3"/>
  <c r="AK47" i="3" s="1"/>
  <c r="AK57" i="3" s="1"/>
  <c r="AB146" i="3"/>
  <c r="P155" i="3"/>
  <c r="AB243" i="3"/>
  <c r="AB239" i="3"/>
  <c r="AD18" i="3"/>
  <c r="AK18" i="3"/>
  <c r="G391" i="3" s="1"/>
  <c r="AN18" i="3"/>
  <c r="G464" i="3" s="1"/>
  <c r="D513" i="3"/>
  <c r="D440" i="3"/>
  <c r="M500" i="1" l="1"/>
  <c r="M357" i="3"/>
  <c r="M450" i="1"/>
  <c r="N440" i="1"/>
  <c r="M75" i="2"/>
  <c r="M340" i="3"/>
  <c r="M504" i="1"/>
  <c r="M506" i="1" s="1"/>
  <c r="AK143" i="3"/>
  <c r="AN94" i="3"/>
  <c r="AN102" i="3" s="1"/>
  <c r="AK86" i="3"/>
  <c r="AK113" i="3" s="1"/>
  <c r="AK115" i="3" s="1"/>
  <c r="AD86" i="3"/>
  <c r="AD113" i="3" s="1"/>
  <c r="AD115" i="3" s="1"/>
  <c r="AN86" i="3"/>
  <c r="AN113" i="3" s="1"/>
  <c r="AN115" i="3" s="1"/>
  <c r="AB113" i="3"/>
  <c r="AB115" i="3" s="1"/>
  <c r="M109" i="3"/>
  <c r="AN36" i="3"/>
  <c r="AN47" i="3" s="1"/>
  <c r="AN57" i="3" s="1"/>
  <c r="AM62" i="5"/>
  <c r="AM64" i="5" s="1"/>
  <c r="M182" i="3"/>
  <c r="AM66" i="5" s="1"/>
  <c r="AD245" i="3"/>
  <c r="AN243" i="3"/>
  <c r="AN239" i="3"/>
  <c r="AR39" i="5"/>
  <c r="AR50" i="5" s="1"/>
  <c r="AR60" i="5" s="1"/>
  <c r="M186" i="1"/>
  <c r="N180" i="1"/>
  <c r="M23" i="2"/>
  <c r="M44" i="2"/>
  <c r="M295" i="3"/>
  <c r="AP37" i="5"/>
  <c r="AR28" i="5"/>
  <c r="AR37" i="5" s="1"/>
  <c r="M176" i="1"/>
  <c r="M278" i="3"/>
  <c r="M194" i="1"/>
  <c r="N188" i="1"/>
  <c r="M46" i="2"/>
  <c r="CM46" i="2" s="1"/>
  <c r="M301" i="3"/>
  <c r="O163" i="1"/>
  <c r="P163" i="1" s="1"/>
  <c r="R163" i="1" s="1"/>
  <c r="O37" i="2"/>
  <c r="O276" i="3"/>
  <c r="CL95" i="2"/>
  <c r="AN245" i="3"/>
  <c r="N487" i="1"/>
  <c r="N59" i="3" s="1"/>
  <c r="O478" i="1"/>
  <c r="N81" i="2"/>
  <c r="N355" i="3"/>
  <c r="AB157" i="3"/>
  <c r="AB168" i="3" s="1"/>
  <c r="AB178" i="3" s="1"/>
  <c r="CL38" i="2"/>
  <c r="CL40" i="2" s="1"/>
  <c r="CL52" i="2" s="1"/>
  <c r="CL98" i="2" s="1"/>
  <c r="L40" i="2"/>
  <c r="L274" i="1"/>
  <c r="L509" i="1"/>
  <c r="L510" i="1" s="1"/>
  <c r="AK243" i="3"/>
  <c r="AK239" i="3"/>
  <c r="R94" i="3"/>
  <c r="R102" i="3" s="1"/>
  <c r="AK245" i="3"/>
  <c r="L141" i="2"/>
  <c r="L144" i="2" s="1"/>
  <c r="L149" i="2" s="1"/>
  <c r="CL90" i="2"/>
  <c r="CL92" i="2" s="1"/>
  <c r="L92" i="2"/>
  <c r="L201" i="2" s="1"/>
  <c r="L203" i="2" s="1"/>
  <c r="L205" i="2" s="1"/>
  <c r="AK94" i="3"/>
  <c r="AK102" i="3" s="1"/>
  <c r="AK146" i="3"/>
  <c r="AK155" i="3" s="1"/>
  <c r="AN146" i="3"/>
  <c r="AN155" i="3" s="1"/>
  <c r="AN157" i="3" s="1"/>
  <c r="AN168" i="3" s="1"/>
  <c r="AN178" i="3" s="1"/>
  <c r="AB155" i="3"/>
  <c r="AD146" i="3"/>
  <c r="AD155" i="3" s="1"/>
  <c r="AD157" i="3" s="1"/>
  <c r="AD168" i="3" s="1"/>
  <c r="AD178" i="3" s="1"/>
  <c r="O252" i="1"/>
  <c r="N270" i="1"/>
  <c r="N47" i="2"/>
  <c r="N320" i="3"/>
  <c r="AP39" i="5"/>
  <c r="AP50" i="5" s="1"/>
  <c r="AP60" i="5" s="1"/>
  <c r="N192" i="1" l="1"/>
  <c r="N297" i="3"/>
  <c r="N448" i="1"/>
  <c r="N332" i="3"/>
  <c r="CN47" i="2"/>
  <c r="N179" i="2"/>
  <c r="AD94" i="3"/>
  <c r="AD102" i="3" s="1"/>
  <c r="CO37" i="2"/>
  <c r="O268" i="1"/>
  <c r="O304" i="3"/>
  <c r="N165" i="1"/>
  <c r="M178" i="1"/>
  <c r="M38" i="2"/>
  <c r="M289" i="3"/>
  <c r="M272" i="1"/>
  <c r="AK157" i="3"/>
  <c r="AK168" i="3" s="1"/>
  <c r="AK178" i="3" s="1"/>
  <c r="N490" i="1"/>
  <c r="M502" i="1"/>
  <c r="M90" i="2"/>
  <c r="M367" i="3"/>
  <c r="L174" i="2"/>
  <c r="L181" i="2" s="1"/>
  <c r="L208" i="2" s="1"/>
  <c r="L119" i="2"/>
  <c r="L123" i="2" s="1"/>
  <c r="L151" i="2" s="1"/>
  <c r="CM23" i="2"/>
  <c r="CM26" i="2" s="1"/>
  <c r="M177" i="2"/>
  <c r="M26" i="2"/>
  <c r="N184" i="1"/>
  <c r="N291" i="3"/>
  <c r="L95" i="2"/>
  <c r="CN81" i="2"/>
  <c r="CN84" i="2" s="1"/>
  <c r="N84" i="2"/>
  <c r="N138" i="2"/>
  <c r="N140" i="2" s="1"/>
  <c r="N200" i="2"/>
  <c r="M184" i="3"/>
  <c r="O485" i="1"/>
  <c r="O348" i="3"/>
  <c r="L52" i="2"/>
  <c r="N104" i="3"/>
  <c r="N106" i="3" s="1"/>
  <c r="N180" i="3"/>
  <c r="N61" i="3"/>
  <c r="CM75" i="2"/>
  <c r="CM77" i="2" s="1"/>
  <c r="M77" i="2"/>
  <c r="M131" i="2"/>
  <c r="M133" i="2" s="1"/>
  <c r="M194" i="2"/>
  <c r="M49" i="2"/>
  <c r="M121" i="2" s="1"/>
  <c r="CM44" i="2"/>
  <c r="CM49" i="2" s="1"/>
  <c r="N176" i="1" l="1"/>
  <c r="N278" i="3"/>
  <c r="AN62" i="5"/>
  <c r="AN64" i="5" s="1"/>
  <c r="N182" i="3"/>
  <c r="AN66" i="5" s="1"/>
  <c r="N500" i="1"/>
  <c r="N357" i="3"/>
  <c r="L98" i="2"/>
  <c r="N450" i="1"/>
  <c r="O440" i="1"/>
  <c r="N75" i="2"/>
  <c r="N340" i="3"/>
  <c r="N109" i="3"/>
  <c r="N184" i="3"/>
  <c r="M141" i="2"/>
  <c r="M144" i="2" s="1"/>
  <c r="M149" i="2" s="1"/>
  <c r="CM90" i="2"/>
  <c r="CM92" i="2" s="1"/>
  <c r="M92" i="2"/>
  <c r="M201" i="2" s="1"/>
  <c r="M203" i="2" s="1"/>
  <c r="M205" i="2" s="1"/>
  <c r="O270" i="1"/>
  <c r="P270" i="1" s="1"/>
  <c r="R270" i="1" s="1"/>
  <c r="O47" i="2"/>
  <c r="O320" i="3"/>
  <c r="M274" i="1"/>
  <c r="M509" i="1"/>
  <c r="M510" i="1" s="1"/>
  <c r="O487" i="1"/>
  <c r="O81" i="2"/>
  <c r="O355" i="3"/>
  <c r="N194" i="1"/>
  <c r="O188" i="1"/>
  <c r="N46" i="2"/>
  <c r="CN46" i="2" s="1"/>
  <c r="N301" i="3"/>
  <c r="CM95" i="2"/>
  <c r="CM38" i="2"/>
  <c r="CM40" i="2" s="1"/>
  <c r="CM52" i="2" s="1"/>
  <c r="CM98" i="2" s="1"/>
  <c r="M40" i="2"/>
  <c r="M52" i="2" s="1"/>
  <c r="O180" i="1"/>
  <c r="N186" i="1"/>
  <c r="N23" i="2"/>
  <c r="N44" i="2" s="1"/>
  <c r="N295" i="3"/>
  <c r="CN44" i="2" l="1"/>
  <c r="CN49" i="2" s="1"/>
  <c r="N49" i="2"/>
  <c r="N121" i="2" s="1"/>
  <c r="M98" i="2"/>
  <c r="O490" i="1"/>
  <c r="N502" i="1"/>
  <c r="N90" i="2"/>
  <c r="N367" i="3"/>
  <c r="P487" i="1"/>
  <c r="R487" i="1" s="1"/>
  <c r="O59" i="3"/>
  <c r="M95" i="2"/>
  <c r="M174" i="2"/>
  <c r="M181" i="2" s="1"/>
  <c r="M208" i="2" s="1"/>
  <c r="M119" i="2"/>
  <c r="M123" i="2" s="1"/>
  <c r="M151" i="2" s="1"/>
  <c r="CO81" i="2"/>
  <c r="CO84" i="2" s="1"/>
  <c r="O84" i="2"/>
  <c r="O138" i="2"/>
  <c r="O200" i="2"/>
  <c r="CN75" i="2"/>
  <c r="CN77" i="2" s="1"/>
  <c r="N77" i="2"/>
  <c r="N194" i="2"/>
  <c r="N131" i="2"/>
  <c r="N133" i="2" s="1"/>
  <c r="O448" i="1"/>
  <c r="O332" i="3"/>
  <c r="CN23" i="2"/>
  <c r="CN26" i="2" s="1"/>
  <c r="N177" i="2"/>
  <c r="N26" i="2"/>
  <c r="O192" i="1"/>
  <c r="O297" i="3"/>
  <c r="N178" i="1"/>
  <c r="O165" i="1"/>
  <c r="N38" i="2"/>
  <c r="N289" i="3"/>
  <c r="N272" i="1"/>
  <c r="O184" i="1"/>
  <c r="O291" i="3"/>
  <c r="CO47" i="2"/>
  <c r="O179" i="2"/>
  <c r="N504" i="1"/>
  <c r="N506" i="1" s="1"/>
  <c r="CN52" i="2" l="1"/>
  <c r="O176" i="1"/>
  <c r="O278" i="3"/>
  <c r="O450" i="1"/>
  <c r="P450" i="1" s="1"/>
  <c r="R450" i="1" s="1"/>
  <c r="O75" i="2"/>
  <c r="O340" i="3"/>
  <c r="O504" i="1"/>
  <c r="O506" i="1" s="1"/>
  <c r="P506" i="1" s="1"/>
  <c r="R506" i="1" s="1"/>
  <c r="N274" i="1"/>
  <c r="N509" i="1"/>
  <c r="N510" i="1" s="1"/>
  <c r="O140" i="2"/>
  <c r="P138" i="2"/>
  <c r="P140" i="2" s="1"/>
  <c r="CN38" i="2"/>
  <c r="CN40" i="2" s="1"/>
  <c r="N40" i="2"/>
  <c r="CN90" i="2"/>
  <c r="CN92" i="2" s="1"/>
  <c r="CN95" i="2" s="1"/>
  <c r="N141" i="2"/>
  <c r="N144" i="2" s="1"/>
  <c r="N149" i="2" s="1"/>
  <c r="N92" i="2"/>
  <c r="N201" i="2" s="1"/>
  <c r="N203" i="2" s="1"/>
  <c r="N205" i="2" s="1"/>
  <c r="O500" i="1"/>
  <c r="O357" i="3"/>
  <c r="O194" i="1"/>
  <c r="P194" i="1" s="1"/>
  <c r="R194" i="1" s="1"/>
  <c r="O46" i="2"/>
  <c r="CO46" i="2" s="1"/>
  <c r="O301" i="3"/>
  <c r="N95" i="2"/>
  <c r="O186" i="1"/>
  <c r="P186" i="1" s="1"/>
  <c r="R186" i="1" s="1"/>
  <c r="O23" i="2"/>
  <c r="O44" i="2" s="1"/>
  <c r="O295" i="3"/>
  <c r="N52" i="2"/>
  <c r="O104" i="3"/>
  <c r="O180" i="3"/>
  <c r="P59" i="3"/>
  <c r="O61" i="3"/>
  <c r="CO44" i="2" l="1"/>
  <c r="CO49" i="2" s="1"/>
  <c r="O49" i="2"/>
  <c r="O121" i="2" s="1"/>
  <c r="P121" i="2" s="1"/>
  <c r="AB59" i="3"/>
  <c r="R59" i="3"/>
  <c r="P180" i="3"/>
  <c r="P182" i="3" s="1"/>
  <c r="P61" i="3"/>
  <c r="P104" i="3"/>
  <c r="O106" i="3"/>
  <c r="N174" i="2"/>
  <c r="N181" i="2" s="1"/>
  <c r="N208" i="2" s="1"/>
  <c r="N119" i="2"/>
  <c r="N123" i="2" s="1"/>
  <c r="N151" i="2" s="1"/>
  <c r="CO75" i="2"/>
  <c r="CO77" i="2" s="1"/>
  <c r="O77" i="2"/>
  <c r="O131" i="2"/>
  <c r="O133" i="2" s="1"/>
  <c r="O194" i="2"/>
  <c r="AO62" i="5"/>
  <c r="O182" i="3"/>
  <c r="N98" i="2"/>
  <c r="O502" i="1"/>
  <c r="P502" i="1" s="1"/>
  <c r="R502" i="1" s="1"/>
  <c r="O90" i="2"/>
  <c r="O367" i="3"/>
  <c r="O178" i="1"/>
  <c r="P178" i="1" s="1"/>
  <c r="R178" i="1" s="1"/>
  <c r="O38" i="2"/>
  <c r="O289" i="3"/>
  <c r="O272" i="1"/>
  <c r="O109" i="3"/>
  <c r="CO23" i="2"/>
  <c r="CO26" i="2" s="1"/>
  <c r="O177" i="2"/>
  <c r="O26" i="2"/>
  <c r="CN98" i="2"/>
  <c r="CO95" i="2" l="1"/>
  <c r="AK59" i="3"/>
  <c r="AK61" i="3" s="1"/>
  <c r="AN59" i="3"/>
  <c r="AN61" i="3" s="1"/>
  <c r="AD59" i="3"/>
  <c r="AD61" i="3" s="1"/>
  <c r="AB180" i="3"/>
  <c r="AB61" i="3"/>
  <c r="CO38" i="2"/>
  <c r="CO40" i="2" s="1"/>
  <c r="CO52" i="2" s="1"/>
  <c r="CO98" i="2" s="1"/>
  <c r="O40" i="2"/>
  <c r="AB104" i="3"/>
  <c r="R104" i="3"/>
  <c r="R106" i="3" s="1"/>
  <c r="P106" i="3"/>
  <c r="P109" i="3" s="1"/>
  <c r="O274" i="1"/>
  <c r="P274" i="1" s="1"/>
  <c r="R274" i="1" s="1"/>
  <c r="O509" i="1"/>
  <c r="O510" i="1" s="1"/>
  <c r="P510" i="1" s="1"/>
  <c r="O52" i="2"/>
  <c r="AP62" i="5"/>
  <c r="AO64" i="5"/>
  <c r="AO66" i="5" s="1"/>
  <c r="P184" i="3"/>
  <c r="CO90" i="2"/>
  <c r="CO92" i="2" s="1"/>
  <c r="O141" i="2"/>
  <c r="O92" i="2"/>
  <c r="O201" i="2" s="1"/>
  <c r="O203" i="2" s="1"/>
  <c r="O205" i="2" s="1"/>
  <c r="O184" i="3"/>
  <c r="R180" i="3"/>
  <c r="R182" i="3" s="1"/>
  <c r="R61" i="3"/>
  <c r="O98" i="2" l="1"/>
  <c r="AK104" i="3"/>
  <c r="AK106" i="3" s="1"/>
  <c r="AN104" i="3"/>
  <c r="AN106" i="3" s="1"/>
  <c r="AN109" i="3" s="1"/>
  <c r="AD104" i="3"/>
  <c r="AD106" i="3" s="1"/>
  <c r="AB106" i="3"/>
  <c r="AK180" i="3"/>
  <c r="AK182" i="3" s="1"/>
  <c r="AN180" i="3"/>
  <c r="AN182" i="3" s="1"/>
  <c r="AN184" i="3" s="1"/>
  <c r="AD180" i="3"/>
  <c r="AD182" i="3" s="1"/>
  <c r="AB182" i="3"/>
  <c r="AB184" i="3" s="1"/>
  <c r="O119" i="2"/>
  <c r="O174" i="2"/>
  <c r="O181" i="2" s="1"/>
  <c r="O208" i="2" s="1"/>
  <c r="P141" i="2"/>
  <c r="P144" i="2" s="1"/>
  <c r="P149" i="2" s="1"/>
  <c r="O144" i="2"/>
  <c r="O149" i="2" s="1"/>
  <c r="AB109" i="3"/>
  <c r="R184" i="3"/>
  <c r="R109" i="3"/>
  <c r="AD109" i="3"/>
  <c r="AD184" i="3"/>
  <c r="O95" i="2"/>
  <c r="AR62" i="5"/>
  <c r="AR64" i="5" s="1"/>
  <c r="AR66" i="5" s="1"/>
  <c r="AP64" i="5"/>
  <c r="AP66" i="5" s="1"/>
  <c r="AK109" i="3"/>
  <c r="AK184" i="3"/>
  <c r="P119" i="2" l="1"/>
  <c r="P123" i="2" s="1"/>
  <c r="O123" i="2"/>
  <c r="O151" i="2" s="1"/>
</calcChain>
</file>

<file path=xl/sharedStrings.xml><?xml version="1.0" encoding="utf-8"?>
<sst xmlns="http://schemas.openxmlformats.org/spreadsheetml/2006/main" count="1123" uniqueCount="637">
  <si>
    <t>NORTHERN NATURAL GAS GROUP</t>
  </si>
  <si>
    <t>BACKUP FOR BALANCE SHEET AND CASH FLOW STATEMENT</t>
  </si>
  <si>
    <t>(Thousands of Dollars)</t>
  </si>
  <si>
    <t>ACTUAL</t>
  </si>
  <si>
    <t xml:space="preserve">BALANCE </t>
  </si>
  <si>
    <t>PLAN</t>
  </si>
  <si>
    <t>TOTAL</t>
  </si>
  <si>
    <t>ESTIMATED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</si>
  <si>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</si>
  <si>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</si>
  <si>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</si>
  <si>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</si>
  <si>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</si>
  <si>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</si>
  <si>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</si>
  <si>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</si>
  <si>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</si>
  <si>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</si>
  <si>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</si>
  <si>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</si>
  <si>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Y-T-D</t>
  </si>
  <si>
    <t>R.M.</t>
  </si>
  <si>
    <t xml:space="preserve">   Actual / Estimate Adjustment</t>
  </si>
  <si>
    <t xml:space="preserve">      Change</t>
  </si>
  <si>
    <t>Accounts Receivable - Beg. Balance</t>
  </si>
  <si>
    <t xml:space="preserve">   Previous Month Subtotal</t>
  </si>
  <si>
    <t>(L)</t>
  </si>
  <si>
    <t xml:space="preserve">   Transportion Revenue (Before Higher Rates)</t>
  </si>
  <si>
    <t xml:space="preserve">   Liquids Revenue</t>
  </si>
  <si>
    <t xml:space="preserve">   Other Revenue</t>
  </si>
  <si>
    <t xml:space="preserve">   Rate Case Impact (Higher Rates)</t>
  </si>
  <si>
    <t xml:space="preserve">      Subtotal - Revenue</t>
  </si>
  <si>
    <t xml:space="preserve">   Other</t>
  </si>
  <si>
    <t>Accounts Receivable - End. Balance</t>
  </si>
  <si>
    <t>Inventories - Beg. Balance</t>
  </si>
  <si>
    <t xml:space="preserve">   Storage Above / (Below) 14.0 Bcf Level</t>
  </si>
  <si>
    <t>Inventories - End. Balance</t>
  </si>
  <si>
    <t>Materials &amp; Supplies - Beg. Balance</t>
  </si>
  <si>
    <t>Materials &amp; Supplies - End. Balance</t>
  </si>
  <si>
    <t>Exchange Gas Receivable - Beg. Balance</t>
  </si>
  <si>
    <t>Exchange Gas Receivable - End. Balance</t>
  </si>
  <si>
    <t>Prepayments - Beg. Balance</t>
  </si>
  <si>
    <t>Prepayments - End. Balance</t>
  </si>
  <si>
    <t>MONTHLY</t>
  </si>
  <si>
    <t>Other Current Assets - Beg. Balance</t>
  </si>
  <si>
    <t>END. BAL.</t>
  </si>
  <si>
    <t xml:space="preserve">   ACA - Payments</t>
  </si>
  <si>
    <t xml:space="preserve">           - Amortization</t>
  </si>
  <si>
    <t xml:space="preserve">   Stranded 858 / 858 R.A.</t>
  </si>
  <si>
    <t xml:space="preserve">   Reverse Auction 1 - Surcharge Tracker</t>
  </si>
  <si>
    <t xml:space="preserve">   Reverse Auction 2 - Surcharge Tracker</t>
  </si>
  <si>
    <t xml:space="preserve">   Reverse Auction 3 - Surcharge Tracker</t>
  </si>
  <si>
    <t xml:space="preserve">   Regulatory Commission Expense</t>
  </si>
  <si>
    <t xml:space="preserve">   SBA Tracker Adjustment</t>
  </si>
  <si>
    <t xml:space="preserve">   Other - OI Costs</t>
  </si>
  <si>
    <t xml:space="preserve">            - Loss on Reacquired Debt</t>
  </si>
  <si>
    <t>Other Current Assets - End. Balance</t>
  </si>
  <si>
    <t>Pipeline Partnerships - Beg. Balance</t>
  </si>
  <si>
    <t xml:space="preserve">   Partnership Distribution</t>
  </si>
  <si>
    <t>Pipeline Partnerships - End. Balance</t>
  </si>
  <si>
    <t>Investments &amp; Other Assets - Beg. Balance</t>
  </si>
  <si>
    <t>Investments &amp; Other Assets - End. Balance</t>
  </si>
  <si>
    <t>Plant - Beg. Balance</t>
  </si>
  <si>
    <t xml:space="preserve">              - Year End Accrual Activity</t>
  </si>
  <si>
    <t xml:space="preserve">   AFUDC</t>
  </si>
  <si>
    <t xml:space="preserve">   Plant / Reserve Adjustments</t>
  </si>
  <si>
    <t>Plant - End. Balance</t>
  </si>
  <si>
    <t>Accumulated Depreciation - Beg. Balance</t>
  </si>
  <si>
    <t xml:space="preserve">   Depreciation Expense</t>
  </si>
  <si>
    <t xml:space="preserve">   Plant Amortization</t>
  </si>
  <si>
    <t xml:space="preserve">   Asset Sales </t>
  </si>
  <si>
    <t>Accumulated Depreciation - End. Balance</t>
  </si>
  <si>
    <t xml:space="preserve">   One Time Payments (Third Parties)</t>
  </si>
  <si>
    <t xml:space="preserve">   Merger / Severance</t>
  </si>
  <si>
    <t xml:space="preserve">   Stranded 858 (Other) - Principal / Other</t>
  </si>
  <si>
    <t xml:space="preserve">          - Surcharge Tracker </t>
  </si>
  <si>
    <t xml:space="preserve">          - Carrying Charges</t>
  </si>
  <si>
    <t xml:space="preserve">   Stranded 858 (ANR Buyout) - Principal / Other</t>
  </si>
  <si>
    <t xml:space="preserve">   Stranded 858 R.A. - Principal / Other</t>
  </si>
  <si>
    <t xml:space="preserve">   GSR (Total) - Principal / Other</t>
  </si>
  <si>
    <t xml:space="preserve">   GSR R.A. (Total) - Other</t>
  </si>
  <si>
    <t xml:space="preserve">          - Principal (Interest Component)</t>
  </si>
  <si>
    <t xml:space="preserve">   Reverse Auction 1 - Other</t>
  </si>
  <si>
    <t xml:space="preserve">   Reverse Auction 2 - Other</t>
  </si>
  <si>
    <t xml:space="preserve">   Reverse Auction 3 - Other</t>
  </si>
  <si>
    <t xml:space="preserve">          - Principal </t>
  </si>
  <si>
    <t xml:space="preserve">   Order 528 - Principal / Other </t>
  </si>
  <si>
    <t xml:space="preserve">          - Direct Bill Payment</t>
  </si>
  <si>
    <t xml:space="preserve">   Pipe Recoating Costs - Principal</t>
  </si>
  <si>
    <t xml:space="preserve">          - Amortization (Reg. Amort.) </t>
  </si>
  <si>
    <t xml:space="preserve">   IMP Amortization (Reg. Amort.)</t>
  </si>
  <si>
    <t xml:space="preserve">   Regulatory Commission Expense (Reg. Amort.)</t>
  </si>
  <si>
    <t xml:space="preserve">   2223 Dodge Lease Termination Amortization</t>
  </si>
  <si>
    <t xml:space="preserve">   Uncollectable Accts.(PGA / Centran,Gasmart,Latex)</t>
  </si>
  <si>
    <t xml:space="preserve">   Severance &amp; Relocation Amortization</t>
  </si>
  <si>
    <t xml:space="preserve">   AFUDC - Gross Up (Net of Amortization)</t>
  </si>
  <si>
    <t xml:space="preserve">   Net Fuel / UAF Amortization (Pre PRA)</t>
  </si>
  <si>
    <t>Deferred Charges - Beg. Balance</t>
  </si>
  <si>
    <t xml:space="preserve">   Amortized Loss on Reacquired Debt</t>
  </si>
  <si>
    <t xml:space="preserve">   Unamortized Debt Expense - $250.0 MM Note</t>
  </si>
  <si>
    <t xml:space="preserve">   Quarterly Actual vs. Flash Variance (Hyperion Adjust.)</t>
  </si>
  <si>
    <t>Deferred Charges - End. Balance</t>
  </si>
  <si>
    <t>TOTAL ASSETS</t>
  </si>
  <si>
    <t xml:space="preserve">      Net Change</t>
  </si>
  <si>
    <t xml:space="preserve">   Gas Purchased &amp; Produced</t>
  </si>
  <si>
    <t xml:space="preserve">   TC&amp;S (858 / 858 R.A. / SBA)</t>
  </si>
  <si>
    <t xml:space="preserve">   Liquids Fuel &amp; Shrinkage </t>
  </si>
  <si>
    <t xml:space="preserve">   Miscellaneous</t>
  </si>
  <si>
    <t xml:space="preserve">      Subtotal</t>
  </si>
  <si>
    <t xml:space="preserve">   Year End Accrual</t>
  </si>
  <si>
    <t xml:space="preserve">   Reverse Auction 1 &amp; 2  Accrual (Year End) / Payment</t>
  </si>
  <si>
    <t xml:space="preserve">   Corporate Payable (Acct. 1460)</t>
  </si>
  <si>
    <t xml:space="preserve">   Actual / Estimate Adjustment (CAFCO ?)</t>
  </si>
  <si>
    <t>Accounts Payable (Other) - Beg. Balance</t>
  </si>
  <si>
    <t xml:space="preserve">   Current Month Activity   (REVIEW FORMULA)</t>
  </si>
  <si>
    <t xml:space="preserve">   Actual / Estimate Adjustment </t>
  </si>
  <si>
    <t>Accounts Payable (Other) - End. Balance</t>
  </si>
  <si>
    <t>Exchange Gas Payable - Beg. Balance</t>
  </si>
  <si>
    <t>Exchange Gas Payable - End. Balance</t>
  </si>
  <si>
    <t>Accrued Taxes - Beg. Balance</t>
  </si>
  <si>
    <t xml:space="preserve">   Taxes Other than Income</t>
  </si>
  <si>
    <t xml:space="preserve">   Property Tax Payments  (Acct. 2360-200)</t>
  </si>
  <si>
    <t xml:space="preserve">   Misc. Tax. Pay. (Acct. 2360-300/804/999 &amp; 2361-999)</t>
  </si>
  <si>
    <t xml:space="preserve">   Payroll Tax Payments</t>
  </si>
  <si>
    <t xml:space="preserve">      Net Adjustments</t>
  </si>
  <si>
    <t xml:space="preserve">   Income Tax (w/o Capital Cost) Exp.  (Per P/L)</t>
  </si>
  <si>
    <t xml:space="preserve">   Current Payable</t>
  </si>
  <si>
    <t xml:space="preserve">      Accrual Amount</t>
  </si>
  <si>
    <t xml:space="preserve">   Total Changes</t>
  </si>
  <si>
    <t xml:space="preserve">   Previous Month Balance - YTD</t>
  </si>
  <si>
    <t>Accrued Taxes - End. Balance</t>
  </si>
  <si>
    <t>Deferred Taxes (Current) - Beg. Balance</t>
  </si>
  <si>
    <t xml:space="preserve">   Current Month Activity (Def. Taxes Earnings Model)</t>
  </si>
  <si>
    <t xml:space="preserve">   Tax Department Adjustment</t>
  </si>
  <si>
    <t>Deferred Taxes (Current) - End. Balance</t>
  </si>
  <si>
    <t>Deferred Taxes (Noncurrent) - Beg. Balance</t>
  </si>
  <si>
    <t>Deferred Taxes (Noncurrent) - End. Balance</t>
  </si>
  <si>
    <t>Accrued Interest - Beg. Balance</t>
  </si>
  <si>
    <t xml:space="preserve">   Long-Term Debt  (External Only)</t>
  </si>
  <si>
    <t xml:space="preserve">   Interest Payments on Long Term Debt</t>
  </si>
  <si>
    <t>Accrued Interest - End. Balance</t>
  </si>
  <si>
    <t>Other Current Liabilities - Beg. Balance</t>
  </si>
  <si>
    <t xml:space="preserve">        - Transport</t>
  </si>
  <si>
    <t xml:space="preserve">   Reverse Auction 1 - Payment (Current Portion)</t>
  </si>
  <si>
    <t xml:space="preserve">   Reverse Auction 2 - Payment (Current Portion)</t>
  </si>
  <si>
    <t>Other Current Liabilities - End. Balance</t>
  </si>
  <si>
    <t>Other Deferred Credits - Beg. Balance</t>
  </si>
  <si>
    <t xml:space="preserve">   Unamortized Gain on Reacquired Debt</t>
  </si>
  <si>
    <t xml:space="preserve">   Reverse Auction 1 (Incl. 10% Supply)</t>
  </si>
  <si>
    <t xml:space="preserve">   Reverse Auction 2 </t>
  </si>
  <si>
    <t>Other Deferred Credits - End. Balance</t>
  </si>
  <si>
    <t xml:space="preserve">   (Increase) / Decrease in Intercompany Cash</t>
  </si>
  <si>
    <t xml:space="preserve">   Payable / Receivable - Enron Corporate Other</t>
  </si>
  <si>
    <t xml:space="preserve">                                  - Enron Corporate CAFCO</t>
  </si>
  <si>
    <t xml:space="preserve">   Dividends to EPC</t>
  </si>
  <si>
    <t xml:space="preserve">   Debt Discount Component</t>
  </si>
  <si>
    <t xml:space="preserve">   Corporate Beginning Balance Adjustment</t>
  </si>
  <si>
    <t>Long Term Debt - Beg. Balance</t>
  </si>
  <si>
    <t xml:space="preserve">   Principal - $250.0 MM @ 8.0% (Reclass to Cur. Liab.)</t>
  </si>
  <si>
    <t xml:space="preserve">                - $100.0 MM @ 6.875%</t>
  </si>
  <si>
    <t xml:space="preserve">                - $150.0 MM @ 6.75%</t>
  </si>
  <si>
    <t xml:space="preserve">   Debt Discount</t>
  </si>
  <si>
    <t>Long Term Debt - End. Balance</t>
  </si>
  <si>
    <t>Capitalization - Beg. Balance</t>
  </si>
  <si>
    <t xml:space="preserve">         - Net Gain / (Loss) on Asset Sales (External)</t>
  </si>
  <si>
    <t xml:space="preserve">         - Net Gain / (Loss) on Asset Sales (Assoc. Co.)</t>
  </si>
  <si>
    <t>Capitalization - End. Balance</t>
  </si>
  <si>
    <t>TOTAL LIABILITIES &amp; STOCKHOLDERS EQUITY</t>
  </si>
  <si>
    <t>Check # - Cumulative</t>
  </si>
  <si>
    <t xml:space="preserve">             - Current Month</t>
  </si>
  <si>
    <t>\P</t>
  </si>
  <si>
    <t>:PlbtTITLE1~qqrsASSET1~g</t>
  </si>
  <si>
    <t>:PrsASSET2~g</t>
  </si>
  <si>
    <t>:PrsASSET3~g</t>
  </si>
  <si>
    <t>:PrsASSET4~g</t>
  </si>
  <si>
    <t>:PrsASSET5~g</t>
  </si>
  <si>
    <t>:PrsLIAB1~g</t>
  </si>
  <si>
    <t>:PrsLIAB2~g</t>
  </si>
  <si>
    <t>:PrsLIAB3~g</t>
  </si>
  <si>
    <t>:PrsLIAB4~g</t>
  </si>
  <si>
    <t>BALANCE SHEET</t>
  </si>
  <si>
    <t>ACT.</t>
  </si>
  <si>
    <t>JUNE</t>
  </si>
  <si>
    <t>1993</t>
  </si>
  <si>
    <t>CURRENT ASSETS</t>
  </si>
  <si>
    <t>1</t>
  </si>
  <si>
    <t xml:space="preserve">   Cash &amp; Temporary Cash Investments</t>
  </si>
  <si>
    <t>2</t>
  </si>
  <si>
    <t xml:space="preserve">   Accounts Receivable</t>
  </si>
  <si>
    <t>I</t>
  </si>
  <si>
    <t xml:space="preserve">   Enron Corporate - Receivable (Acct. 1466)</t>
  </si>
  <si>
    <t xml:space="preserve">                            - Payable (Acct. 1460)</t>
  </si>
  <si>
    <t>3</t>
  </si>
  <si>
    <t xml:space="preserve">   Inventories</t>
  </si>
  <si>
    <t xml:space="preserve">   Materials and Supplies</t>
  </si>
  <si>
    <t>4</t>
  </si>
  <si>
    <t xml:space="preserve">   Exchange Gas Receivable</t>
  </si>
  <si>
    <t xml:space="preserve">   (Over) / Under Recovered Gas Cost</t>
  </si>
  <si>
    <t xml:space="preserve">   Prepayments</t>
  </si>
  <si>
    <t>8</t>
  </si>
  <si>
    <t xml:space="preserve">   Deferred Contract Reformation Costs</t>
  </si>
  <si>
    <t xml:space="preserve">      Total Current Assets</t>
  </si>
  <si>
    <t>INVESTMENTS AND OTHER ASSETS</t>
  </si>
  <si>
    <t>5</t>
  </si>
  <si>
    <t xml:space="preserve">   Pipeline Partnerships</t>
  </si>
  <si>
    <t xml:space="preserve">      Total Investments &amp; Other Assets</t>
  </si>
  <si>
    <t>PLANT</t>
  </si>
  <si>
    <t xml:space="preserve">   Accumulated Depreciation</t>
  </si>
  <si>
    <t>6</t>
  </si>
  <si>
    <t xml:space="preserve">      Net Plant</t>
  </si>
  <si>
    <t>DEFERRED CHARGES</t>
  </si>
  <si>
    <t>7</t>
  </si>
  <si>
    <t xml:space="preserve">   Other Regulatory Assets</t>
  </si>
  <si>
    <t>9</t>
  </si>
  <si>
    <t xml:space="preserve">   Deferred Severance / Relocation Charges</t>
  </si>
  <si>
    <t xml:space="preserve">      Total Deferred Charges</t>
  </si>
  <si>
    <t xml:space="preserve">            TOTAL ASSETS</t>
  </si>
  <si>
    <t>CURRENT LIABILITIES</t>
  </si>
  <si>
    <t>A</t>
  </si>
  <si>
    <t xml:space="preserve">   Accounts Payable - Assoc. Companies / Trade</t>
  </si>
  <si>
    <t xml:space="preserve">                               - Other</t>
  </si>
  <si>
    <t>B</t>
  </si>
  <si>
    <t xml:space="preserve">   Exchange Gas Payable</t>
  </si>
  <si>
    <t xml:space="preserve">   Accrued Taxes</t>
  </si>
  <si>
    <t>C</t>
  </si>
  <si>
    <t xml:space="preserve">   Deferred Income Taxes - Current</t>
  </si>
  <si>
    <t xml:space="preserve">   Accrued Interest</t>
  </si>
  <si>
    <t>E</t>
  </si>
  <si>
    <t>F</t>
  </si>
  <si>
    <t>H</t>
  </si>
  <si>
    <t xml:space="preserve">      Total Current Liabilities</t>
  </si>
  <si>
    <t>DEFERRED CREDITS AND OTHER LIABILITIES</t>
  </si>
  <si>
    <t>D</t>
  </si>
  <si>
    <t xml:space="preserve">   Deferred Income Taxes</t>
  </si>
  <si>
    <t>G</t>
  </si>
  <si>
    <t xml:space="preserve">   Other Regulatory Liabilities</t>
  </si>
  <si>
    <t xml:space="preserve">      Total Deferred Credits &amp; Other Liabilities</t>
  </si>
  <si>
    <t xml:space="preserve">DEBT </t>
  </si>
  <si>
    <t xml:space="preserve">   Payable / (Receivable) from Corporate</t>
  </si>
  <si>
    <t>J</t>
  </si>
  <si>
    <t xml:space="preserve">   Long-term Debt - External</t>
  </si>
  <si>
    <t xml:space="preserve">                          - Assoc. Companies</t>
  </si>
  <si>
    <t xml:space="preserve">      Total Debt</t>
  </si>
  <si>
    <t>EQUITY</t>
  </si>
  <si>
    <t xml:space="preserve">   Common Stock</t>
  </si>
  <si>
    <t xml:space="preserve">   Paid-in Capital</t>
  </si>
  <si>
    <t xml:space="preserve">   Retained Earnings</t>
  </si>
  <si>
    <t>K</t>
  </si>
  <si>
    <t xml:space="preserve">      Total Equity</t>
  </si>
  <si>
    <t xml:space="preserve">            TOTAL LIABILITIES &amp; EQUITY</t>
  </si>
  <si>
    <t xml:space="preserve">      CHECK #</t>
  </si>
  <si>
    <t>PRINT: RONCEMO</t>
  </si>
  <si>
    <t>AVERAGE NET CAPITAL EMPLOYED</t>
  </si>
  <si>
    <t>PRINT: RONCEMO93</t>
  </si>
  <si>
    <t>ROLLING</t>
  </si>
  <si>
    <t>AVERAGE</t>
  </si>
  <si>
    <t>ACT./EST.</t>
  </si>
  <si>
    <t>1992</t>
  </si>
  <si>
    <t xml:space="preserve"> ACT./EST.</t>
  </si>
  <si>
    <t>NET CAPITAL EMPLOYED</t>
  </si>
  <si>
    <t xml:space="preserve">   ASSETS</t>
  </si>
  <si>
    <t xml:space="preserve">       Cash</t>
  </si>
  <si>
    <t xml:space="preserve">       Accounts Receivable</t>
  </si>
  <si>
    <t xml:space="preserve">       Receivable from Corporate</t>
  </si>
  <si>
    <t xml:space="preserve">       Inventories</t>
  </si>
  <si>
    <t xml:space="preserve">       Prepaid &amp; Other Assets</t>
  </si>
  <si>
    <t xml:space="preserve">       Property - Net</t>
  </si>
  <si>
    <t xml:space="preserve">       Other Tangible Assets</t>
  </si>
  <si>
    <t xml:space="preserve">       Intangible Assets</t>
  </si>
  <si>
    <t xml:space="preserve">          Total Assets</t>
  </si>
  <si>
    <t xml:space="preserve">   LESS:</t>
  </si>
  <si>
    <t xml:space="preserve">   INTEREST FREE LIABILITIES</t>
  </si>
  <si>
    <t xml:space="preserve">       Accounts Payable</t>
  </si>
  <si>
    <t xml:space="preserve">       Accrued Liabilities</t>
  </si>
  <si>
    <t xml:space="preserve">       Current Tax Liabilities</t>
  </si>
  <si>
    <t xml:space="preserve">       Deferred Tax Liabilities</t>
  </si>
  <si>
    <t xml:space="preserve">       Other Liabilities</t>
  </si>
  <si>
    <t xml:space="preserve">          Total Interest Free Liabilities</t>
  </si>
  <si>
    <t xml:space="preserve">   SOURCES OF NET CAPITAL EMPLOYED</t>
  </si>
  <si>
    <t xml:space="preserve">       Short-Term Payable - Corporate</t>
  </si>
  <si>
    <t xml:space="preserve">       Short-Term payable (rec.) - Corporate</t>
  </si>
  <si>
    <t xml:space="preserve">       Long-Term Payable - Corporate</t>
  </si>
  <si>
    <t xml:space="preserve">       Long-Term payable - Corporate</t>
  </si>
  <si>
    <t xml:space="preserve">       Third Party Debt</t>
  </si>
  <si>
    <t xml:space="preserve">          Total Debt</t>
  </si>
  <si>
    <t xml:space="preserve">          Total Equity</t>
  </si>
  <si>
    <t>TOTAL NET CAPITAL EMPLOYED</t>
  </si>
  <si>
    <t>TOTAL NET INCOME (BEFORE CAPITAL COSTS)</t>
  </si>
  <si>
    <t>RONCE</t>
  </si>
  <si>
    <t>PRINT: CORPBS</t>
  </si>
  <si>
    <t>BALANCE SHEET ANALYSIS</t>
  </si>
  <si>
    <t>PRINT: CORPBS93</t>
  </si>
  <si>
    <t>ASSETS</t>
  </si>
  <si>
    <t xml:space="preserve">    Cash</t>
  </si>
  <si>
    <t xml:space="preserve">    Accounts Receivable</t>
  </si>
  <si>
    <t xml:space="preserve">    Receivable from Corporate</t>
  </si>
  <si>
    <t xml:space="preserve">    Materials &amp; Supplies</t>
  </si>
  <si>
    <t xml:space="preserve">    Prepaid &amp; Other Assets</t>
  </si>
  <si>
    <t xml:space="preserve">    Investments</t>
  </si>
  <si>
    <t xml:space="preserve">    Property - Net</t>
  </si>
  <si>
    <t xml:space="preserve">    Development Costs</t>
  </si>
  <si>
    <t xml:space="preserve">    Deferred Regulatory Assets</t>
  </si>
  <si>
    <t xml:space="preserve">    Deferred Contract Reformation Costs</t>
  </si>
  <si>
    <t xml:space="preserve">    Other Tangible Assets</t>
  </si>
  <si>
    <t xml:space="preserve">    Other Intangible Assets</t>
  </si>
  <si>
    <t xml:space="preserve">         Total Assets</t>
  </si>
  <si>
    <t>LIABILITIES</t>
  </si>
  <si>
    <t xml:space="preserve">    Accounts Payable</t>
  </si>
  <si>
    <t xml:space="preserve">    Accrued Liabilities</t>
  </si>
  <si>
    <t xml:space="preserve">    Bill in Excess of Costs</t>
  </si>
  <si>
    <t xml:space="preserve">    Current Tax Liabilities</t>
  </si>
  <si>
    <t xml:space="preserve">    Deferred Tax Liabilities</t>
  </si>
  <si>
    <t xml:space="preserve">    Deferred Construction Profits / Performance Bonus</t>
  </si>
  <si>
    <t xml:space="preserve">    Deferred PAGUS Revenue</t>
  </si>
  <si>
    <t xml:space="preserve">    Deferred TCR Revenue</t>
  </si>
  <si>
    <t xml:space="preserve">    Deferred GSR / PGA Revenue</t>
  </si>
  <si>
    <t xml:space="preserve">    Other Regulatory Liabilities</t>
  </si>
  <si>
    <t xml:space="preserve">    Other Liabilities</t>
  </si>
  <si>
    <t xml:space="preserve">         Total Liabilities </t>
  </si>
  <si>
    <t>CAPITAL</t>
  </si>
  <si>
    <t xml:space="preserve">    Payable / (Receivable) from Corporate</t>
  </si>
  <si>
    <t xml:space="preserve">    Long-term Debt - External</t>
  </si>
  <si>
    <t xml:space="preserve">    Capitalization</t>
  </si>
  <si>
    <t xml:space="preserve">         Total Capital</t>
  </si>
  <si>
    <t xml:space="preserve">    Total Liabilities and Capital</t>
  </si>
  <si>
    <t xml:space="preserve">\P </t>
  </si>
  <si>
    <t>:PlbtTITLE1~qqrsMOASSET~g</t>
  </si>
  <si>
    <t>:PrsMOLIAB~g</t>
  </si>
  <si>
    <t>\R</t>
  </si>
  <si>
    <t>:PlbtTITLE2~qqrs93ASSET~g</t>
  </si>
  <si>
    <t>:Prs93LIAB~g</t>
  </si>
  <si>
    <t>PRINT: PRINT</t>
  </si>
  <si>
    <t>CASH FLOW STATEMENT</t>
  </si>
  <si>
    <t>PRINT: COMPARE</t>
  </si>
  <si>
    <t>ACT./EST. vs. PLAN</t>
  </si>
  <si>
    <t>ANNUAL</t>
  </si>
  <si>
    <t>Variance</t>
  </si>
  <si>
    <t>CASH FLOW FROM OPERATING ACTIVITIES</t>
  </si>
  <si>
    <t xml:space="preserve">   Items not affecting Working Capital:</t>
  </si>
  <si>
    <t xml:space="preserve">      Depreciation and Amortization</t>
  </si>
  <si>
    <t xml:space="preserve">      Regulatory Amortization - TCR</t>
  </si>
  <si>
    <t xml:space="preserve">   Working Capital Changes:</t>
  </si>
  <si>
    <t xml:space="preserve">      Inventories</t>
  </si>
  <si>
    <t xml:space="preserve">                    - Other</t>
  </si>
  <si>
    <t xml:space="preserve">      Over / (Under) Recovered Gas Cost</t>
  </si>
  <si>
    <t xml:space="preserve">      Exchange Gas - Receivable</t>
  </si>
  <si>
    <t xml:space="preserve">                    - Payable</t>
  </si>
  <si>
    <t xml:space="preserve">      Prepayments</t>
  </si>
  <si>
    <t xml:space="preserve">      Accrued Interest - Third Party</t>
  </si>
  <si>
    <t xml:space="preserve">      Accrued Taxes, other than income</t>
  </si>
  <si>
    <t xml:space="preserve">      Other Current Assets or Liabilities (W/O Reserve Activity)</t>
  </si>
  <si>
    <t xml:space="preserve">   Equity Earnings</t>
  </si>
  <si>
    <t xml:space="preserve">   Net (Gain) / Loss on Sale of Assets</t>
  </si>
  <si>
    <t xml:space="preserve">   Other Regulatory Assets / Liabilities</t>
  </si>
  <si>
    <t xml:space="preserve">   Other (Incl. All Capital Costs &amp; Current Reserve Activity) </t>
  </si>
  <si>
    <t xml:space="preserve">      Cash Provided by Operating Activities</t>
  </si>
  <si>
    <t>CASH FLOW FROM INVESTING ACTIVITIES</t>
  </si>
  <si>
    <t xml:space="preserve">   Proceeds from Sale (Various)</t>
  </si>
  <si>
    <t xml:space="preserve">   Additions to Property </t>
  </si>
  <si>
    <t xml:space="preserve">   Other Capital Expenditures</t>
  </si>
  <si>
    <t xml:space="preserve">   Other (Net Salvage &amp; Removal)</t>
  </si>
  <si>
    <t xml:space="preserve">      Cash Provided by (Used in) Investing Activities</t>
  </si>
  <si>
    <t xml:space="preserve">            Net Cash Flow Before Corporate Adjustments</t>
  </si>
  <si>
    <t>OTHER ITEMS AFFECTING INTERCO. (CORP.) BALANCE</t>
  </si>
  <si>
    <t xml:space="preserve">   Inc. / (Dec.) in Long-Term Debt  (External)</t>
  </si>
  <si>
    <t xml:space="preserve">   Inc. / (Dec.) in Long-Term Debt Discount </t>
  </si>
  <si>
    <t xml:space="preserve">      Total Items Affecting Intercompany (Corp.) Balance</t>
  </si>
  <si>
    <t>INCREASE / (DECREASE) IN INTERCOMPANY CASH</t>
  </si>
  <si>
    <t xml:space="preserve">      Change in Other Obligations</t>
  </si>
  <si>
    <t>INCREASE / (DECREASE) IN TOTAL OBLIGATIONS</t>
  </si>
  <si>
    <t>PRINT: CORPCASH</t>
  </si>
  <si>
    <t>TOTAL OBLIGATIONS</t>
  </si>
  <si>
    <t>PRINT: CORPSUM</t>
  </si>
  <si>
    <t>Cash Flow From Operations</t>
  </si>
  <si>
    <t xml:space="preserve">      Net Income After Financing Costs</t>
  </si>
  <si>
    <t xml:space="preserve">      Depreciation, Depletion, and Amortization</t>
  </si>
  <si>
    <t xml:space="preserve">      Amortization of Contract Reformation Costs</t>
  </si>
  <si>
    <t xml:space="preserve">      Deferred Income Taxes - Noncurrent Only</t>
  </si>
  <si>
    <t xml:space="preserve">      Deferred Revenue</t>
  </si>
  <si>
    <t xml:space="preserve">      Unrealized (Gain) / Loss on Price Risk Mgmt Activities</t>
  </si>
  <si>
    <t xml:space="preserve">      Oil &amp; Gas Exploration Expenses</t>
  </si>
  <si>
    <t xml:space="preserve">            Total Cash Flow From Operations</t>
  </si>
  <si>
    <t>Working Capital Changes</t>
  </si>
  <si>
    <t xml:space="preserve">      Accrued Income Taxes</t>
  </si>
  <si>
    <t xml:space="preserve">      Tax Refunds / Payments</t>
  </si>
  <si>
    <t xml:space="preserve">      Others, Net </t>
  </si>
  <si>
    <t>Equity Earnings</t>
  </si>
  <si>
    <t>Equity / Partnership Distributions</t>
  </si>
  <si>
    <t>Proceeds from Sale of Investments</t>
  </si>
  <si>
    <t>Capital Expenditures (Excluding Interco. Transactions)</t>
  </si>
  <si>
    <t>Equity Investments</t>
  </si>
  <si>
    <t xml:space="preserve">Others, Net </t>
  </si>
  <si>
    <t>Net Cash Flow</t>
  </si>
  <si>
    <t>Other Items Affecting Interco. Cash Balance with Corporate</t>
  </si>
  <si>
    <t xml:space="preserve">      Third Party Debt Increase / (Decrease)</t>
  </si>
  <si>
    <t xml:space="preserve">      Dividends Paid to Corporate</t>
  </si>
  <si>
    <t xml:space="preserve">      Dividends Paid to Outside Parties / Other</t>
  </si>
  <si>
    <t xml:space="preserve">      Restricted / Retained Cash</t>
  </si>
  <si>
    <t xml:space="preserve">Increase / (Decrease) in Cash Balance with Corporate </t>
  </si>
  <si>
    <t>Change in Other Obligations</t>
  </si>
  <si>
    <t>Increase / (Decrease) in Total Obligations</t>
  </si>
  <si>
    <t xml:space="preserve">         Total Working Capital Changes</t>
  </si>
  <si>
    <t>PRINT: FUNDSMO</t>
  </si>
  <si>
    <t>FUNDS FLOW STATEMENT</t>
  </si>
  <si>
    <t>PRINT: FUNDSUM</t>
  </si>
  <si>
    <t xml:space="preserve">   Items not affecting Cash:</t>
  </si>
  <si>
    <t xml:space="preserve">      Deferred Income Taxes</t>
  </si>
  <si>
    <t xml:space="preserve">      Net (Gain) / Loss on Sale of Assets</t>
  </si>
  <si>
    <t xml:space="preserve">            Total Funds Flow From Operations</t>
  </si>
  <si>
    <t xml:space="preserve">      Accounts Receivable (Including Exchange Gas Rec.)</t>
  </si>
  <si>
    <t xml:space="preserve">      Accounts Payable &amp; Other (Including Exchange Gas Pay.)</t>
  </si>
  <si>
    <t xml:space="preserve">      Other (Including Inventory and Prepayments)</t>
  </si>
  <si>
    <t xml:space="preserve">            Total Working Capital Changes</t>
  </si>
  <si>
    <t>TOTAL CASH FLOW FROM OPERATING ACTIVITIES</t>
  </si>
  <si>
    <t>NET CASH FLOW</t>
  </si>
  <si>
    <t>PRINT: OTHERMO</t>
  </si>
  <si>
    <t>FUNDS FLOW STATEMENT - "OTHER"</t>
  </si>
  <si>
    <t>PRINT: OTHERSUM</t>
  </si>
  <si>
    <t xml:space="preserve"> " OTHER "</t>
  </si>
  <si>
    <t xml:space="preserve">   Change in Other Regulatory Assets</t>
  </si>
  <si>
    <t xml:space="preserve">         "     "      "           "        Liabilities</t>
  </si>
  <si>
    <t xml:space="preserve">      Net Change in Regulatory Assets / Liabilities</t>
  </si>
  <si>
    <t xml:space="preserve">   Other Items (Cash Flow Model)</t>
  </si>
  <si>
    <t xml:space="preserve">      Change in Cash / Temporary Cash Investments</t>
  </si>
  <si>
    <t xml:space="preserve">      Change in Deferred Charges</t>
  </si>
  <si>
    <t xml:space="preserve">      Gross Plant</t>
  </si>
  <si>
    <t xml:space="preserve">          Reserve Adjustments </t>
  </si>
  <si>
    <t xml:space="preserve">          Storage Imbalance (Acct.117.4) </t>
  </si>
  <si>
    <t xml:space="preserve">          Retirements at Cost</t>
  </si>
  <si>
    <t xml:space="preserve">      Accumulated Depreciation</t>
  </si>
  <si>
    <t xml:space="preserve">      Other (Was Ardmore Capitalization 3/95)</t>
  </si>
  <si>
    <t xml:space="preserve">         Subtotal (Cash Flow Model)</t>
  </si>
  <si>
    <t xml:space="preserve">   Other Tie Out Items (Financial Reporting)</t>
  </si>
  <si>
    <t xml:space="preserve">      Gain / (Loss) Offset - Various Property Sales</t>
  </si>
  <si>
    <t xml:space="preserve">      Total Current Liability Reserve Activity</t>
  </si>
  <si>
    <t xml:space="preserve">      Long Term Debt Discount</t>
  </si>
  <si>
    <t xml:space="preserve">      Hyperion Adjust. / Reversal (DD&amp;A and Deferred Taxes)</t>
  </si>
  <si>
    <t xml:space="preserve">      Others, net</t>
  </si>
  <si>
    <t xml:space="preserve">         Subtotal (Financial Reporting)</t>
  </si>
  <si>
    <t xml:space="preserve">      Total Other Items</t>
  </si>
  <si>
    <t>TOTAL " OTHER "</t>
  </si>
  <si>
    <t>PRINT:  PAGE1</t>
  </si>
  <si>
    <t xml:space="preserve">   " LINKED ITEMS FROM BACKUP FILE "</t>
  </si>
  <si>
    <t>ORIGINAL</t>
  </si>
  <si>
    <t>OTHER</t>
  </si>
  <si>
    <t>ADPRP</t>
  </si>
  <si>
    <t>OTCAP</t>
  </si>
  <si>
    <t>PROCD</t>
  </si>
  <si>
    <t>WASH</t>
  </si>
  <si>
    <t>DEPR.</t>
  </si>
  <si>
    <t>DCRC</t>
  </si>
  <si>
    <t>REGAM</t>
  </si>
  <si>
    <t>Other Current Liabilities</t>
  </si>
  <si>
    <t>O-REG</t>
  </si>
  <si>
    <t>LT DEBT</t>
  </si>
  <si>
    <t>CNTPR</t>
  </si>
  <si>
    <t>=</t>
  </si>
  <si>
    <t>PRINT:  VARPLAN</t>
  </si>
  <si>
    <t>(CORPORATE ACCRUAL)</t>
  </si>
  <si>
    <t>NET</t>
  </si>
  <si>
    <t xml:space="preserve"> BEFORE</t>
  </si>
  <si>
    <t xml:space="preserve"> AFTER</t>
  </si>
  <si>
    <t>CASH</t>
  </si>
  <si>
    <t>1995 ORIGINAL OPERATING PLAN</t>
  </si>
  <si>
    <t>CASH FLOW FROM OPERATIONS</t>
  </si>
  <si>
    <t>WORKING CAPITAL &amp; OTHER CHANGES</t>
  </si>
  <si>
    <t xml:space="preserve">      - Other</t>
  </si>
  <si>
    <t xml:space="preserve">      - Severance (Involuntary / Voluntary) </t>
  </si>
  <si>
    <t xml:space="preserve">      - Unamortized Debt Expense</t>
  </si>
  <si>
    <t xml:space="preserve">      - Other Deferred Charges (Actual Adjust.)</t>
  </si>
  <si>
    <t xml:space="preserve">      - Other Deferred Credits (Actual Adjust.)</t>
  </si>
  <si>
    <t xml:space="preserve">      - Miscellaneous</t>
  </si>
  <si>
    <t xml:space="preserve">            Cash Provided by (Used in) Operating Activities</t>
  </si>
  <si>
    <t>PRINT:  VARCE</t>
  </si>
  <si>
    <t>1994 THIRD CURRENT ESTIMATE or ACTUAL</t>
  </si>
  <si>
    <t>(3rd C.E. Inv. to Plant Trans. $48.2 MM)</t>
  </si>
  <si>
    <t xml:space="preserve">      - FAS 109 Adjustment (1993)</t>
  </si>
  <si>
    <t xml:space="preserve">      - IMP Noncurrent Deferred Tax Adjustment</t>
  </si>
  <si>
    <t xml:space="preserve">      - Misc. ('93-IRS Audit $-4.1, Nonrec. Adv. $-4.0, FAS 96 Pres. Val. $-2.4)</t>
  </si>
  <si>
    <t>('93-IMP Trans. $60.1, Inv. to Plant $55.7 MM)</t>
  </si>
  <si>
    <t xml:space="preserve">            Cash Provided by (Used in) Investing Activities</t>
  </si>
  <si>
    <t>\L</t>
  </si>
  <si>
    <t>:PlbtTITLE1~qqrsPAGE1~g</t>
  </si>
  <si>
    <t>:PrsPAGE2~g</t>
  </si>
  <si>
    <t xml:space="preserve">   Dividends to EPC, Trailblazer TPC1 (3/99)</t>
  </si>
  <si>
    <t xml:space="preserve">                      - $100.0 MM Note</t>
  </si>
  <si>
    <t xml:space="preserve">                      - $150.0 MM Note</t>
  </si>
  <si>
    <t xml:space="preserve">   Order 528 - Surcharge Tracker </t>
  </si>
  <si>
    <t xml:space="preserve">   Partnership Income / (Loss)</t>
  </si>
  <si>
    <t>INVSTOT</t>
  </si>
  <si>
    <t>Funds Flow in 1998</t>
  </si>
  <si>
    <t xml:space="preserve">   FAS 106 Amortization</t>
  </si>
  <si>
    <t xml:space="preserve">   Ardmore (3/95), Lucent (11/98, 2/99), Black Marlin (3/99)</t>
  </si>
  <si>
    <t xml:space="preserve">            - Unamortized Debt Expense - $250.0 MM Note</t>
  </si>
  <si>
    <t xml:space="preserve">   Variable Pay (Reclass 3/99) / Bonus / PBA Accrual</t>
  </si>
  <si>
    <t xml:space="preserve">PRINT: </t>
  </si>
  <si>
    <t xml:space="preserve">   Storage Equivalent Unit Price Risk - @ Index</t>
  </si>
  <si>
    <t xml:space="preserve">          - @ Futures</t>
  </si>
  <si>
    <t xml:space="preserve">   South Georgia (Reclass from Other Reg. Liab. 10/99)</t>
  </si>
  <si>
    <t xml:space="preserve">   Tax Payment  (Input Actual Incl. 53K 7/99 Forward)</t>
  </si>
  <si>
    <t>OINVEST</t>
  </si>
  <si>
    <t xml:space="preserve">      Change in Invest. &amp; Other Assets</t>
  </si>
  <si>
    <t>Other Invest.in 1999</t>
  </si>
  <si>
    <t xml:space="preserve">      McDay Energy Loan (Investing Activity 7/99 Forward)</t>
  </si>
  <si>
    <t xml:space="preserve">   Non Construction WIP </t>
  </si>
  <si>
    <t xml:space="preserve">      - Monthly Fair Value Adjustment</t>
  </si>
  <si>
    <t xml:space="preserve">              - Other</t>
  </si>
  <si>
    <t xml:space="preserve">   Capital Expenditures (Rudy) - Base Amt. </t>
  </si>
  <si>
    <t xml:space="preserve">   Plant Acquisitions Adjustments</t>
  </si>
  <si>
    <t xml:space="preserve">   Associated Companies (Interco.)</t>
  </si>
  <si>
    <t xml:space="preserve">        - Rate Case Refund Reserve </t>
  </si>
  <si>
    <t xml:space="preserve">   Dividends Transferred to EPC </t>
  </si>
  <si>
    <t xml:space="preserve">   Contribution from Parent </t>
  </si>
  <si>
    <t xml:space="preserve">   Severance and Relocation Amortization</t>
  </si>
  <si>
    <t xml:space="preserve">   Uncollectable Accts. (PGA / Centran,Gasmart,Latex)</t>
  </si>
  <si>
    <t xml:space="preserve">      Funds Flow Management (Final Plan )</t>
  </si>
  <si>
    <t xml:space="preserve">   Cur. Deferred Tax Offset</t>
  </si>
  <si>
    <t xml:space="preserve">      Long Term Debt Discount FF Reporting Change 2/00</t>
  </si>
  <si>
    <t xml:space="preserve">            - Variable Pay / Annual Incentive</t>
  </si>
  <si>
    <t xml:space="preserve">   Pipe Recoating / Plant / Reserve Adjustments</t>
  </si>
  <si>
    <t xml:space="preserve">   Equity / Partner. Distributions / Overthrust Sale (Book Basis)</t>
  </si>
  <si>
    <t xml:space="preserve">   Market Support / Unclaimed Vouchers</t>
  </si>
  <si>
    <t>12/31/00</t>
  </si>
  <si>
    <t xml:space="preserve">   Seagull &amp; MOPS Fuel Sales </t>
  </si>
  <si>
    <t xml:space="preserve">        - 2002</t>
  </si>
  <si>
    <t xml:space="preserve">   Trailblazer Monetization</t>
  </si>
  <si>
    <t xml:space="preserve">   McDay Energy (Original Loan $1.950 &amp; Assets $1.828)</t>
  </si>
  <si>
    <t xml:space="preserve">   Asset Sales - Net Plant </t>
  </si>
  <si>
    <t xml:space="preserve">                      - Net Plant </t>
  </si>
  <si>
    <t xml:space="preserve">   Retirements at Cost </t>
  </si>
  <si>
    <t xml:space="preserve">   Y2K Cost Deferrals</t>
  </si>
  <si>
    <t xml:space="preserve">   SAP Issues (Unknown)</t>
  </si>
  <si>
    <t xml:space="preserve">      Other</t>
  </si>
  <si>
    <t xml:space="preserve">      Proceeds Offset</t>
  </si>
  <si>
    <t xml:space="preserve">   Unidentified "Stretch" (Non Cash)</t>
  </si>
  <si>
    <t xml:space="preserve">   Non-Recurring Structured Produces (Non Cash)</t>
  </si>
  <si>
    <t xml:space="preserve">   Risk Management</t>
  </si>
  <si>
    <t xml:space="preserve">   Price Risk Management (El Paso / Base Gas)</t>
  </si>
  <si>
    <t xml:space="preserve">        - Coyanosa </t>
  </si>
  <si>
    <t xml:space="preserve">              - Additional O&amp;M Capitalization</t>
  </si>
  <si>
    <t>2001 ACTUAL / ESTIMATE</t>
  </si>
  <si>
    <t xml:space="preserve">   DOT Users Fees - 2001 (Expense in 2000)</t>
  </si>
  <si>
    <t xml:space="preserve">   GSR / GSR R.A. - Surcharge / Carrying Charges Tracker</t>
  </si>
  <si>
    <t xml:space="preserve">   Storage Imbalance (Acct. 117.4 - 12/31/00 - 9.371 Bcf) </t>
  </si>
  <si>
    <t xml:space="preserve">      - $100.0 MM Note</t>
  </si>
  <si>
    <t xml:space="preserve">      - Y2K Cost Deferrals (Reclass to Reg Assets 7/00)</t>
  </si>
  <si>
    <t xml:space="preserve">      - Mobil Annual Settlement (1996-2001Exp. In 2000) / Amort.</t>
  </si>
  <si>
    <t xml:space="preserve">      - $150.0 MM Note</t>
  </si>
  <si>
    <t xml:space="preserve">   Gas Purchase Payable (12/00)</t>
  </si>
  <si>
    <t xml:space="preserve">   Reserves (Mapped to FF) - Standby Parts Gain Deferral</t>
  </si>
  <si>
    <t xml:space="preserve">        - Gas Contract Litigation</t>
  </si>
  <si>
    <t xml:space="preserve">      Deferred Income Taxes - Both Current and Noncurrent </t>
  </si>
  <si>
    <t>Regulatory Assets (Current) - Beg. Balance</t>
  </si>
  <si>
    <t>Regulatory Assets (Current) - End. Balance</t>
  </si>
  <si>
    <t xml:space="preserve">   Regulatory Assets</t>
  </si>
  <si>
    <t xml:space="preserve">   Removals (Summary of Property Changes)</t>
  </si>
  <si>
    <t xml:space="preserve">   Salvage (Summary of Property Changes)</t>
  </si>
  <si>
    <t xml:space="preserve">   Asset Price Risk Management</t>
  </si>
  <si>
    <t xml:space="preserve">   Deferred Contract Reformation Costs </t>
  </si>
  <si>
    <t xml:space="preserve">   Price Risk Management Activities (Net)</t>
  </si>
  <si>
    <t xml:space="preserve">   Base Gas / El Paso</t>
  </si>
  <si>
    <t xml:space="preserve">   TransCanada</t>
  </si>
  <si>
    <t>Regulatory Liabilities (Current) - End. Balance</t>
  </si>
  <si>
    <t>Regulatory Liabilities (Current) - Beg. Balance</t>
  </si>
  <si>
    <t xml:space="preserve">   Ad Valorem Tax Refund - Income        </t>
  </si>
  <si>
    <t xml:space="preserve">   Carlton Resolution Surcharge            </t>
  </si>
  <si>
    <t xml:space="preserve">   PRA Fuel / UAF Deferral                    </t>
  </si>
  <si>
    <t xml:space="preserve">   Regulatory Liabilities</t>
  </si>
  <si>
    <t>Regulatory Liabilities (Noncurrent) - Beg. Balance</t>
  </si>
  <si>
    <t>Regulatory Liabilities (Noncurrent) - End. Balance</t>
  </si>
  <si>
    <t>Regulatory Assets (Noncurrent) - Beg. Balance</t>
  </si>
  <si>
    <t>Regulatory Assets (Noncurrent) - End. Balance</t>
  </si>
  <si>
    <t xml:space="preserve">   Liability Price Risk Management</t>
  </si>
  <si>
    <t xml:space="preserve">   Other Investments (McDay Energy / Misc.)</t>
  </si>
  <si>
    <t>Cash / Temporary Cash Investments - Beg. Balance</t>
  </si>
  <si>
    <t>Cash / Temporary Cash Investments - End. Balance</t>
  </si>
  <si>
    <t>Deferred Contract Reformation Costs - Beg. Balance</t>
  </si>
  <si>
    <t>Deferred Contract Reformation Costs - End. Balance</t>
  </si>
  <si>
    <t>Deferred Sev. / Relocation Charges - Beg. Balance</t>
  </si>
  <si>
    <t>Deferred Sev. / Relocation Charges - End. Balance</t>
  </si>
  <si>
    <t>Accounts Payable (Assoc. / Other) - Beg. Balance</t>
  </si>
  <si>
    <t>Accounts Payable (Assoc. / Other) - End. Balance</t>
  </si>
  <si>
    <t>Accounts Payable (Enron Corp. Other) - Beg. Balance</t>
  </si>
  <si>
    <t>Accounts Payable (Enron Corp. Other) - End. Balance</t>
  </si>
  <si>
    <t>Payable / (Receivable) From Corporate - Beg. Balance</t>
  </si>
  <si>
    <t>Payable / (Receivable) From Corporate - End. Balance</t>
  </si>
  <si>
    <t xml:space="preserve">      Change in Deferred Credits </t>
  </si>
  <si>
    <t xml:space="preserve">   Kansas Ad Valorem Tax Issue</t>
  </si>
  <si>
    <t xml:space="preserve">   Other Speculative</t>
  </si>
  <si>
    <t xml:space="preserve">                   - Other</t>
  </si>
  <si>
    <t xml:space="preserve">   Accumulated Other Comprehensive Income</t>
  </si>
  <si>
    <t xml:space="preserve">          Reserve Adj. / Pipe Recoating</t>
  </si>
  <si>
    <t xml:space="preserve">          Retirement of Reserves</t>
  </si>
  <si>
    <t xml:space="preserve">   Other Comprehensive Income</t>
  </si>
  <si>
    <t xml:space="preserve">   Other Comprehensive Loss</t>
  </si>
  <si>
    <t xml:space="preserve">   FASB 133 - Comprehensive Income / (Loss)</t>
  </si>
  <si>
    <t>BLACK MARLIN FAIR VALUE COMPANY (Co. 53K)</t>
  </si>
  <si>
    <t>TRAILBLAZER &amp; OVERTHRUST PIPELINES</t>
  </si>
  <si>
    <t>NORTHERN NATURAL GAS COMPANY (Co. 179)</t>
  </si>
  <si>
    <t>NORTHERN NATURAL GAS COMPANY (Co. 179 / 53K)</t>
  </si>
  <si>
    <t>PRINT: CFPARTNERSHIP</t>
  </si>
  <si>
    <t>PRINT: CFNNG&amp;53K</t>
  </si>
  <si>
    <t xml:space="preserve">   Assigned Receivables Sale (Reclass to A/P 3/01)</t>
  </si>
  <si>
    <t xml:space="preserve">   Assigned Receivables Sale (Reclass From A/R 3/01)</t>
  </si>
  <si>
    <t xml:space="preserve">   Act./Est. Adj. (3/00 Remove Overthrust $-64K)</t>
  </si>
  <si>
    <t xml:space="preserve">   Net Payroll Clearing / Accu. Rate Refund Provision / Other</t>
  </si>
  <si>
    <t xml:space="preserve">   Act. / Est. Adjustment (Remove Overthrust 3/01)</t>
  </si>
  <si>
    <t xml:space="preserve">      Overthrust Removal (Net Income Offset Adjustment)</t>
  </si>
  <si>
    <t xml:space="preserve">      Overthrust Removal (Deferred Taxes Adjustment)</t>
  </si>
  <si>
    <t xml:space="preserve">   Net Income </t>
  </si>
  <si>
    <t xml:space="preserve">   Net Income - w/o Asset Sales</t>
  </si>
  <si>
    <t>Asset Price Risk Management (Noncurrent)- Beg. Balance</t>
  </si>
  <si>
    <t>Asset Price Risk Management (Noncurrent)- End. Balance</t>
  </si>
  <si>
    <t>Asset Price Risk Management (Current)- Beg. Balance</t>
  </si>
  <si>
    <t>Asset Price Risk Management (Current)- End. Balance</t>
  </si>
  <si>
    <t xml:space="preserve">   Other Speculative </t>
  </si>
  <si>
    <t xml:space="preserve">        - Misc.(Def.Interest/Ferraro/Penalty/Def.Well/Other)</t>
  </si>
  <si>
    <t>Liability Price Risk Management (NonCur.) - Beg. Balance</t>
  </si>
  <si>
    <t>Liability Price Risk Management (NonCur.) - End. Balance</t>
  </si>
  <si>
    <t>Liability Price Risk Management (Current) - Beg. Balance</t>
  </si>
  <si>
    <t>Liability Price Risk Management (Current) - End. Balance</t>
  </si>
  <si>
    <t xml:space="preserve">      FASB 133 - Comprehensive Income / (Loss) Tax Adjustment</t>
  </si>
  <si>
    <t xml:space="preserve">      Property Summary - GR/IR Clearing</t>
  </si>
  <si>
    <t xml:space="preserve">      Funds Flow Management (2nd C.E.)</t>
  </si>
  <si>
    <t>SEPT.</t>
  </si>
  <si>
    <t>2nd C.E.</t>
  </si>
  <si>
    <t>Sept. YTD</t>
  </si>
  <si>
    <t xml:space="preserve">   AR/AP Assoc. Cos. Mo. Change Eliminations (6/01 Forward)</t>
  </si>
  <si>
    <t xml:space="preserve">      Accounts Payable - Trade Only (6/01 Forward)</t>
  </si>
  <si>
    <t xml:space="preserve">      Accounts and Notes Receivable - Trade Only (6/01 Forward)</t>
  </si>
  <si>
    <t>JULY</t>
  </si>
  <si>
    <t xml:space="preserve">   Net Present Value Adjustment</t>
  </si>
  <si>
    <t xml:space="preserve">         McDay Reserve Adjustment</t>
  </si>
  <si>
    <t xml:space="preserve">      Funds Flow Management (3rd Qtr Forecast )</t>
  </si>
  <si>
    <t>PRE</t>
  </si>
  <si>
    <r>
      <t xml:space="preserve">   Retirement of Reserves </t>
    </r>
    <r>
      <rPr>
        <sz val="10"/>
        <color indexed="10"/>
        <rFont val="Arial"/>
        <family val="2"/>
      </rPr>
      <t>(Was 12/01 Now 2002 - Mops $-1.8)</t>
    </r>
  </si>
  <si>
    <t>3rd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</si>
</sst>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164" formatCode="dd\-mmm\-yy_)"/>
    <numFmt numFmtId="165" formatCode="mm/dd/yy_)"/>
    <numFmt numFmtId="166" formatCode="hh:mm\ AM/PM_)"/>
    <numFmt numFmtId="167" formatCode="0.0%"/>
    <numFmt numFmtId="168" formatCode="General_)"/>
    <numFmt numFmtId="169" formatCode="#,##0.0_);\(#,##0.0\)"/>
    <numFmt numFmtId="170" formatCode="dd\-mmm\-yy"/>
  </numFmts>
  <fonts count="33">
    <font>
      <sz val="10"/>
      <name val="Arial"/>
    </font>
    <font>
      <b/>
      <sz val="10"/>
      <name val="Arial"/>
    </font>
    <font>
      <sz val="10"/>
      <name val="Helv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u val="double"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 val="double"/>
      <sz val="10"/>
      <name val="Arial"/>
      <family val="2"/>
    </font>
    <font>
      <b/>
      <sz val="6"/>
      <name val="Arial"/>
      <family val="2"/>
    </font>
    <font>
      <b/>
      <u/>
      <sz val="10"/>
      <name val="Arial"/>
    </font>
    <font>
      <sz val="10"/>
      <color indexed="12"/>
      <name val="Arial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u/>
      <sz val="10"/>
      <color indexed="10"/>
      <name val="Arial"/>
      <family val="2"/>
    </font>
    <font>
      <u/>
      <sz val="10"/>
      <color indexed="14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sz val="10"/>
      <color indexed="15"/>
      <name val="Arial"/>
      <family val="2"/>
    </font>
    <font>
      <b/>
      <sz val="10"/>
      <name val="Antique Olive"/>
      <family val="2"/>
    </font>
    <font>
      <b/>
      <u/>
      <sz val="10"/>
      <name val="Antique Olive"/>
      <family val="2"/>
    </font>
    <font>
      <sz val="10"/>
      <color indexed="6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8" fontId="2" fillId="0" borderId="0"/>
    <xf numFmtId="168" fontId="2" fillId="0" borderId="0"/>
  </cellStyleXfs>
  <cellXfs count="242">
    <xf numFmtId="0" fontId="0" fillId="0" borderId="0" xfId="0"/>
    <xf numFmtId="168" fontId="2" fillId="0" borderId="0" xfId="2"/>
    <xf numFmtId="168" fontId="2" fillId="0" borderId="0" xfId="2" applyAlignment="1">
      <alignment horizontal="left"/>
    </xf>
    <xf numFmtId="168" fontId="2" fillId="0" borderId="0" xfId="3"/>
    <xf numFmtId="168" fontId="2" fillId="0" borderId="0" xfId="3" applyAlignment="1">
      <alignment horizontal="left"/>
    </xf>
    <xf numFmtId="0" fontId="3" fillId="0" borderId="0" xfId="1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horizontal="left"/>
    </xf>
    <xf numFmtId="0" fontId="5" fillId="0" borderId="0" xfId="1" applyFont="1"/>
    <xf numFmtId="164" fontId="3" fillId="0" borderId="0" xfId="1" applyNumberFormat="1" applyFont="1" applyProtection="1"/>
    <xf numFmtId="166" fontId="3" fillId="0" borderId="0" xfId="1" applyNumberFormat="1" applyFont="1" applyProtection="1"/>
    <xf numFmtId="0" fontId="4" fillId="0" borderId="0" xfId="1" applyFont="1" applyProtection="1">
      <protection locked="0"/>
    </xf>
    <xf numFmtId="0" fontId="4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37" fontId="5" fillId="0" borderId="0" xfId="1" applyNumberFormat="1" applyFont="1" applyProtection="1"/>
    <xf numFmtId="0" fontId="5" fillId="0" borderId="0" xfId="1" applyFont="1" applyAlignment="1">
      <alignment horizontal="left"/>
    </xf>
    <xf numFmtId="37" fontId="7" fillId="0" borderId="0" xfId="1" applyNumberFormat="1" applyFont="1" applyProtection="1"/>
    <xf numFmtId="37" fontId="8" fillId="0" borderId="0" xfId="1" applyNumberFormat="1" applyFont="1" applyProtection="1">
      <protection locked="0"/>
    </xf>
    <xf numFmtId="0" fontId="5" fillId="0" borderId="0" xfId="1" applyFont="1" applyAlignment="1">
      <alignment horizontal="center"/>
    </xf>
    <xf numFmtId="0" fontId="8" fillId="0" borderId="0" xfId="1" applyFont="1" applyProtection="1">
      <protection locked="0"/>
    </xf>
    <xf numFmtId="37" fontId="9" fillId="0" borderId="0" xfId="1" applyNumberFormat="1" applyFont="1" applyProtection="1"/>
    <xf numFmtId="168" fontId="3" fillId="0" borderId="0" xfId="3" applyFont="1" applyAlignment="1">
      <alignment horizontal="left"/>
    </xf>
    <xf numFmtId="15" fontId="3" fillId="0" borderId="0" xfId="1" applyNumberFormat="1" applyFont="1" applyAlignment="1">
      <alignment horizontal="left"/>
    </xf>
    <xf numFmtId="18" fontId="3" fillId="0" borderId="0" xfId="1" applyNumberFormat="1" applyFont="1" applyAlignment="1">
      <alignment horizontal="left"/>
    </xf>
    <xf numFmtId="0" fontId="10" fillId="0" borderId="0" xfId="1" applyFont="1" applyAlignment="1" applyProtection="1">
      <alignment horizontal="center"/>
      <protection locked="0"/>
    </xf>
    <xf numFmtId="37" fontId="12" fillId="0" borderId="0" xfId="1" applyNumberFormat="1" applyFont="1" applyProtection="1">
      <protection locked="0"/>
    </xf>
    <xf numFmtId="0" fontId="4" fillId="0" borderId="0" xfId="1" quotePrefix="1" applyFont="1" applyAlignment="1">
      <alignment horizontal="left"/>
    </xf>
    <xf numFmtId="0" fontId="5" fillId="0" borderId="0" xfId="1" quotePrefix="1" applyFont="1" applyAlignment="1">
      <alignment horizontal="left"/>
    </xf>
    <xf numFmtId="37" fontId="5" fillId="0" borderId="0" xfId="1" applyNumberFormat="1" applyFont="1" applyProtection="1">
      <protection locked="0"/>
    </xf>
    <xf numFmtId="168" fontId="4" fillId="0" borderId="0" xfId="2" applyFont="1"/>
    <xf numFmtId="168" fontId="4" fillId="0" borderId="0" xfId="2" applyFont="1" applyAlignment="1">
      <alignment horizontal="left"/>
    </xf>
    <xf numFmtId="164" fontId="3" fillId="0" borderId="0" xfId="2" applyNumberFormat="1" applyFont="1" applyProtection="1"/>
    <xf numFmtId="168" fontId="5" fillId="0" borderId="0" xfId="2" applyFont="1"/>
    <xf numFmtId="168" fontId="3" fillId="0" borderId="0" xfId="2" applyFont="1" applyAlignment="1">
      <alignment horizontal="left"/>
    </xf>
    <xf numFmtId="165" fontId="5" fillId="0" borderId="0" xfId="2" applyNumberFormat="1" applyFont="1" applyProtection="1"/>
    <xf numFmtId="165" fontId="3" fillId="0" borderId="0" xfId="2" applyNumberFormat="1" applyFont="1" applyAlignment="1" applyProtection="1">
      <alignment horizontal="left"/>
    </xf>
    <xf numFmtId="166" fontId="3" fillId="0" borderId="0" xfId="2" applyNumberFormat="1" applyFont="1" applyProtection="1"/>
    <xf numFmtId="166" fontId="5" fillId="0" borderId="0" xfId="2" applyNumberFormat="1" applyFont="1" applyProtection="1"/>
    <xf numFmtId="166" fontId="4" fillId="0" borderId="0" xfId="2" applyNumberFormat="1" applyFont="1" applyProtection="1"/>
    <xf numFmtId="168" fontId="4" fillId="0" borderId="0" xfId="2" applyFont="1" applyProtection="1">
      <protection locked="0"/>
    </xf>
    <xf numFmtId="168" fontId="4" fillId="0" borderId="0" xfId="2" applyFont="1" applyAlignment="1" applyProtection="1">
      <alignment horizontal="center"/>
      <protection locked="0"/>
    </xf>
    <xf numFmtId="168" fontId="4" fillId="0" borderId="0" xfId="2" applyFont="1" applyAlignment="1">
      <alignment horizontal="center"/>
    </xf>
    <xf numFmtId="168" fontId="6" fillId="0" borderId="0" xfId="2" applyFont="1" applyAlignment="1" applyProtection="1">
      <alignment horizontal="center"/>
      <protection locked="0"/>
    </xf>
    <xf numFmtId="37" fontId="5" fillId="0" borderId="0" xfId="2" applyNumberFormat="1" applyFont="1" applyProtection="1"/>
    <xf numFmtId="168" fontId="5" fillId="0" borderId="0" xfId="2" applyFont="1" applyAlignment="1">
      <alignment horizontal="center"/>
    </xf>
    <xf numFmtId="168" fontId="5" fillId="0" borderId="0" xfId="2" applyFont="1" applyAlignment="1">
      <alignment horizontal="left"/>
    </xf>
    <xf numFmtId="37" fontId="8" fillId="0" borderId="0" xfId="2" applyNumberFormat="1" applyFont="1" applyProtection="1">
      <protection locked="0"/>
    </xf>
    <xf numFmtId="37" fontId="7" fillId="0" borderId="0" xfId="2" applyNumberFormat="1" applyFont="1" applyProtection="1"/>
    <xf numFmtId="37" fontId="7" fillId="0" borderId="0" xfId="2" applyNumberFormat="1" applyFont="1" applyProtection="1">
      <protection locked="0"/>
    </xf>
    <xf numFmtId="37" fontId="9" fillId="0" borderId="0" xfId="2" applyNumberFormat="1" applyFont="1" applyProtection="1"/>
    <xf numFmtId="167" fontId="5" fillId="0" borderId="0" xfId="2" applyNumberFormat="1" applyFont="1" applyProtection="1"/>
    <xf numFmtId="168" fontId="6" fillId="0" borderId="0" xfId="2" applyFont="1"/>
    <xf numFmtId="168" fontId="11" fillId="0" borderId="0" xfId="2" applyFont="1" applyAlignment="1" applyProtection="1">
      <alignment horizontal="center"/>
      <protection locked="0"/>
    </xf>
    <xf numFmtId="168" fontId="10" fillId="0" borderId="0" xfId="2" applyFont="1" applyAlignment="1" applyProtection="1">
      <alignment horizontal="center"/>
      <protection locked="0"/>
    </xf>
    <xf numFmtId="168" fontId="10" fillId="0" borderId="0" xfId="2" applyFont="1" applyProtection="1">
      <protection locked="0"/>
    </xf>
    <xf numFmtId="168" fontId="5" fillId="0" borderId="0" xfId="2" quotePrefix="1" applyFont="1" applyAlignment="1">
      <alignment horizontal="left"/>
    </xf>
    <xf numFmtId="165" fontId="13" fillId="0" borderId="0" xfId="2" applyNumberFormat="1" applyFont="1" applyAlignment="1" applyProtection="1">
      <alignment horizontal="left"/>
    </xf>
    <xf numFmtId="168" fontId="10" fillId="0" borderId="0" xfId="2" applyFont="1"/>
    <xf numFmtId="168" fontId="8" fillId="0" borderId="0" xfId="2" applyFont="1"/>
    <xf numFmtId="168" fontId="13" fillId="0" borderId="0" xfId="3" quotePrefix="1" applyFont="1" applyAlignment="1">
      <alignment horizontal="left"/>
    </xf>
    <xf numFmtId="168" fontId="4" fillId="0" borderId="0" xfId="3" applyFont="1"/>
    <xf numFmtId="168" fontId="4" fillId="0" borderId="0" xfId="3" applyFont="1" applyAlignment="1">
      <alignment horizontal="left"/>
    </xf>
    <xf numFmtId="164" fontId="3" fillId="0" borderId="0" xfId="3" applyNumberFormat="1" applyFont="1" applyProtection="1"/>
    <xf numFmtId="168" fontId="5" fillId="0" borderId="0" xfId="3" applyFont="1"/>
    <xf numFmtId="168" fontId="3" fillId="0" borderId="0" xfId="3" applyFont="1"/>
    <xf numFmtId="165" fontId="4" fillId="0" borderId="0" xfId="3" applyNumberFormat="1" applyFont="1" applyProtection="1"/>
    <xf numFmtId="168" fontId="13" fillId="0" borderId="0" xfId="3" applyFont="1" applyAlignment="1">
      <alignment horizontal="left"/>
    </xf>
    <xf numFmtId="166" fontId="3" fillId="0" borderId="0" xfId="3" applyNumberFormat="1" applyFont="1" applyProtection="1"/>
    <xf numFmtId="166" fontId="4" fillId="0" borderId="0" xfId="3" applyNumberFormat="1" applyFont="1" applyProtection="1"/>
    <xf numFmtId="168" fontId="4" fillId="0" borderId="0" xfId="3" applyFont="1" applyProtection="1">
      <protection locked="0"/>
    </xf>
    <xf numFmtId="168" fontId="4" fillId="0" borderId="0" xfId="3" applyFont="1" applyAlignment="1" applyProtection="1">
      <alignment horizontal="center"/>
      <protection locked="0"/>
    </xf>
    <xf numFmtId="168" fontId="4" fillId="0" borderId="0" xfId="3" applyFont="1" applyAlignment="1">
      <alignment horizontal="center"/>
    </xf>
    <xf numFmtId="168" fontId="4" fillId="0" borderId="1" xfId="3" applyFont="1" applyBorder="1" applyAlignment="1">
      <alignment horizontal="centerContinuous"/>
    </xf>
    <xf numFmtId="168" fontId="6" fillId="0" borderId="0" xfId="3" applyFont="1" applyAlignment="1">
      <alignment horizontal="center"/>
    </xf>
    <xf numFmtId="168" fontId="6" fillId="0" borderId="0" xfId="3" applyFont="1" applyAlignment="1" applyProtection="1">
      <alignment horizontal="center"/>
      <protection locked="0"/>
    </xf>
    <xf numFmtId="37" fontId="5" fillId="0" borderId="0" xfId="3" applyNumberFormat="1" applyFont="1" applyProtection="1"/>
    <xf numFmtId="37" fontId="8" fillId="0" borderId="0" xfId="3" applyNumberFormat="1" applyFont="1" applyProtection="1">
      <protection locked="0"/>
    </xf>
    <xf numFmtId="168" fontId="5" fillId="0" borderId="0" xfId="3" applyFont="1" applyAlignment="1">
      <alignment horizontal="left"/>
    </xf>
    <xf numFmtId="168" fontId="8" fillId="0" borderId="0" xfId="3" applyFont="1" applyProtection="1">
      <protection locked="0"/>
    </xf>
    <xf numFmtId="37" fontId="7" fillId="0" borderId="0" xfId="3" applyNumberFormat="1" applyFont="1" applyProtection="1">
      <protection locked="0"/>
    </xf>
    <xf numFmtId="37" fontId="7" fillId="0" borderId="0" xfId="3" applyNumberFormat="1" applyFont="1" applyProtection="1"/>
    <xf numFmtId="168" fontId="7" fillId="0" borderId="0" xfId="3" applyFont="1"/>
    <xf numFmtId="37" fontId="14" fillId="0" borderId="0" xfId="3" applyNumberFormat="1" applyFont="1" applyProtection="1"/>
    <xf numFmtId="37" fontId="4" fillId="0" borderId="0" xfId="3" applyNumberFormat="1" applyFont="1" applyProtection="1"/>
    <xf numFmtId="168" fontId="5" fillId="0" borderId="0" xfId="3" applyFont="1" applyAlignment="1">
      <alignment horizontal="fill"/>
    </xf>
    <xf numFmtId="164" fontId="15" fillId="0" borderId="0" xfId="3" applyNumberFormat="1" applyFont="1" applyProtection="1"/>
    <xf numFmtId="166" fontId="15" fillId="0" borderId="0" xfId="3" applyNumberFormat="1" applyFont="1" applyProtection="1"/>
    <xf numFmtId="5" fontId="5" fillId="0" borderId="0" xfId="3" applyNumberFormat="1" applyFont="1" applyProtection="1"/>
    <xf numFmtId="169" fontId="5" fillId="0" borderId="0" xfId="3" applyNumberFormat="1" applyFont="1" applyProtection="1"/>
    <xf numFmtId="5" fontId="9" fillId="0" borderId="0" xfId="3" applyNumberFormat="1" applyFont="1" applyProtection="1"/>
    <xf numFmtId="169" fontId="5" fillId="0" borderId="0" xfId="3" applyNumberFormat="1" applyFont="1" applyAlignment="1" applyProtection="1">
      <alignment horizontal="left"/>
    </xf>
    <xf numFmtId="168" fontId="8" fillId="0" borderId="0" xfId="3" applyFont="1" applyAlignment="1" applyProtection="1">
      <alignment horizontal="left"/>
      <protection locked="0"/>
    </xf>
    <xf numFmtId="169" fontId="8" fillId="0" borderId="0" xfId="3" applyNumberFormat="1" applyFont="1" applyAlignment="1" applyProtection="1">
      <alignment horizontal="left"/>
      <protection locked="0"/>
    </xf>
    <xf numFmtId="168" fontId="10" fillId="0" borderId="0" xfId="3" applyFont="1"/>
    <xf numFmtId="168" fontId="8" fillId="0" borderId="0" xfId="3" applyFont="1"/>
    <xf numFmtId="168" fontId="10" fillId="0" borderId="0" xfId="3" applyFont="1" applyAlignment="1" applyProtection="1">
      <alignment horizontal="center"/>
      <protection locked="0"/>
    </xf>
    <xf numFmtId="168" fontId="11" fillId="0" borderId="0" xfId="3" applyFont="1" applyAlignment="1" applyProtection="1">
      <alignment horizontal="center"/>
      <protection locked="0"/>
    </xf>
    <xf numFmtId="168" fontId="10" fillId="0" borderId="1" xfId="3" applyFont="1" applyBorder="1" applyAlignment="1">
      <alignment horizontal="centerContinuous"/>
    </xf>
    <xf numFmtId="168" fontId="10" fillId="0" borderId="1" xfId="3" applyFont="1" applyBorder="1" applyAlignment="1" applyProtection="1">
      <alignment horizontal="centerContinuous"/>
      <protection locked="0"/>
    </xf>
    <xf numFmtId="37" fontId="12" fillId="0" borderId="0" xfId="3" applyNumberFormat="1" applyFont="1" applyProtection="1">
      <protection locked="0"/>
    </xf>
    <xf numFmtId="168" fontId="8" fillId="0" borderId="0" xfId="3" applyFont="1" applyAlignment="1">
      <alignment horizontal="left"/>
    </xf>
    <xf numFmtId="168" fontId="8" fillId="0" borderId="0" xfId="3" applyFont="1" applyAlignment="1">
      <alignment horizontal="center"/>
    </xf>
    <xf numFmtId="168" fontId="4" fillId="0" borderId="0" xfId="3" applyFont="1" applyAlignment="1">
      <alignment horizontal="centerContinuous"/>
    </xf>
    <xf numFmtId="168" fontId="4" fillId="0" borderId="2" xfId="3" applyFont="1" applyBorder="1" applyAlignment="1" applyProtection="1">
      <alignment horizontal="centerContinuous"/>
      <protection locked="0"/>
    </xf>
    <xf numFmtId="168" fontId="10" fillId="0" borderId="0" xfId="3" applyFont="1" applyAlignment="1">
      <alignment horizontal="left"/>
    </xf>
    <xf numFmtId="168" fontId="10" fillId="0" borderId="0" xfId="3" quotePrefix="1" applyFont="1" applyAlignment="1">
      <alignment horizontal="left"/>
    </xf>
    <xf numFmtId="168" fontId="8" fillId="0" borderId="0" xfId="3" quotePrefix="1" applyFont="1" applyAlignment="1">
      <alignment horizontal="left"/>
    </xf>
    <xf numFmtId="168" fontId="11" fillId="0" borderId="0" xfId="3" applyFont="1" applyAlignment="1">
      <alignment horizontal="center"/>
    </xf>
    <xf numFmtId="37" fontId="5" fillId="0" borderId="0" xfId="3" applyNumberFormat="1" applyFont="1"/>
    <xf numFmtId="37" fontId="7" fillId="0" borderId="0" xfId="3" applyNumberFormat="1" applyFont="1"/>
    <xf numFmtId="37" fontId="5" fillId="0" borderId="0" xfId="0" applyNumberFormat="1" applyFont="1"/>
    <xf numFmtId="37" fontId="16" fillId="0" borderId="0" xfId="3" applyNumberFormat="1" applyFont="1"/>
    <xf numFmtId="168" fontId="17" fillId="0" borderId="0" xfId="3" quotePrefix="1" applyFont="1" applyAlignment="1">
      <alignment horizontal="left"/>
    </xf>
    <xf numFmtId="37" fontId="14" fillId="0" borderId="0" xfId="3" applyNumberFormat="1" applyFont="1"/>
    <xf numFmtId="168" fontId="11" fillId="0" borderId="0" xfId="3" quotePrefix="1" applyFont="1" applyAlignment="1">
      <alignment horizontal="center"/>
    </xf>
    <xf numFmtId="0" fontId="11" fillId="0" borderId="0" xfId="1" quotePrefix="1" applyFont="1" applyAlignment="1" applyProtection="1">
      <alignment horizontal="center"/>
      <protection locked="0"/>
    </xf>
    <xf numFmtId="168" fontId="11" fillId="0" borderId="0" xfId="2" quotePrefix="1" applyFont="1" applyAlignment="1" applyProtection="1">
      <alignment horizontal="center"/>
      <protection locked="0"/>
    </xf>
    <xf numFmtId="168" fontId="10" fillId="0" borderId="0" xfId="2" applyFont="1" applyAlignment="1">
      <alignment horizontal="center"/>
    </xf>
    <xf numFmtId="168" fontId="6" fillId="0" borderId="0" xfId="3" quotePrefix="1" applyFont="1" applyAlignment="1">
      <alignment horizontal="center"/>
    </xf>
    <xf numFmtId="168" fontId="4" fillId="0" borderId="0" xfId="3" quotePrefix="1" applyFont="1" applyAlignment="1">
      <alignment horizontal="center"/>
    </xf>
    <xf numFmtId="168" fontId="18" fillId="0" borderId="0" xfId="3" applyFont="1" applyAlignment="1"/>
    <xf numFmtId="168" fontId="5" fillId="0" borderId="0" xfId="3" applyFont="1" applyAlignment="1"/>
    <xf numFmtId="168" fontId="11" fillId="0" borderId="0" xfId="3" quotePrefix="1" applyFont="1" applyAlignment="1"/>
    <xf numFmtId="168" fontId="6" fillId="0" borderId="0" xfId="3" applyFont="1"/>
    <xf numFmtId="168" fontId="8" fillId="0" borderId="0" xfId="3" quotePrefix="1" applyFont="1" applyAlignment="1"/>
    <xf numFmtId="37" fontId="5" fillId="0" borderId="0" xfId="3" applyNumberFormat="1" applyFont="1" applyAlignment="1"/>
    <xf numFmtId="37" fontId="7" fillId="0" borderId="0" xfId="3" applyNumberFormat="1" applyFont="1" applyAlignment="1"/>
    <xf numFmtId="168" fontId="7" fillId="0" borderId="0" xfId="3" applyFont="1" applyAlignment="1">
      <alignment horizontal="fill"/>
    </xf>
    <xf numFmtId="37" fontId="16" fillId="0" borderId="0" xfId="3" applyNumberFormat="1" applyFont="1" applyAlignment="1"/>
    <xf numFmtId="168" fontId="8" fillId="0" borderId="0" xfId="3" applyFont="1" applyAlignment="1"/>
    <xf numFmtId="0" fontId="8" fillId="0" borderId="0" xfId="0" quotePrefix="1" applyFont="1" applyAlignment="1"/>
    <xf numFmtId="0" fontId="8" fillId="0" borderId="0" xfId="0" applyFont="1" applyAlignment="1"/>
    <xf numFmtId="37" fontId="5" fillId="0" borderId="0" xfId="3" applyNumberFormat="1" applyFont="1" applyAlignment="1">
      <alignment horizontal="fill"/>
    </xf>
    <xf numFmtId="37" fontId="8" fillId="0" borderId="0" xfId="3" applyNumberFormat="1" applyFont="1" applyAlignment="1"/>
    <xf numFmtId="37" fontId="14" fillId="0" borderId="0" xfId="3" applyNumberFormat="1" applyFont="1" applyAlignment="1"/>
    <xf numFmtId="37" fontId="5" fillId="0" borderId="0" xfId="2" applyNumberFormat="1" applyFont="1" applyProtection="1">
      <protection locked="0"/>
    </xf>
    <xf numFmtId="49" fontId="10" fillId="0" borderId="1" xfId="3" applyNumberFormat="1" applyFont="1" applyBorder="1" applyAlignment="1">
      <alignment horizontal="centerContinuous"/>
    </xf>
    <xf numFmtId="37" fontId="19" fillId="0" borderId="0" xfId="2" applyNumberFormat="1" applyFont="1" applyProtection="1"/>
    <xf numFmtId="37" fontId="20" fillId="0" borderId="0" xfId="3" applyNumberFormat="1" applyFont="1" applyProtection="1"/>
    <xf numFmtId="0" fontId="10" fillId="0" borderId="0" xfId="1" applyFont="1"/>
    <xf numFmtId="0" fontId="10" fillId="0" borderId="0" xfId="1" applyFont="1" applyAlignment="1">
      <alignment horizontal="center"/>
    </xf>
    <xf numFmtId="37" fontId="20" fillId="0" borderId="0" xfId="1" applyNumberFormat="1" applyFont="1" applyProtection="1"/>
    <xf numFmtId="49" fontId="10" fillId="0" borderId="1" xfId="3" applyNumberFormat="1" applyFont="1" applyBorder="1" applyAlignment="1" applyProtection="1">
      <alignment horizontal="centerContinuous"/>
      <protection locked="0"/>
    </xf>
    <xf numFmtId="37" fontId="5" fillId="0" borderId="0" xfId="3" applyNumberFormat="1" applyFont="1" applyProtection="1">
      <protection locked="0"/>
    </xf>
    <xf numFmtId="37" fontId="21" fillId="0" borderId="0" xfId="3" applyNumberFormat="1" applyFont="1" applyProtection="1">
      <protection locked="0"/>
    </xf>
    <xf numFmtId="0" fontId="10" fillId="0" borderId="0" xfId="1" quotePrefix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168" fontId="22" fillId="0" borderId="0" xfId="2" quotePrefix="1" applyFont="1" applyAlignment="1">
      <alignment horizontal="left"/>
    </xf>
    <xf numFmtId="168" fontId="23" fillId="0" borderId="0" xfId="2" applyFont="1" applyAlignment="1" applyProtection="1">
      <alignment horizontal="center"/>
      <protection locked="0"/>
    </xf>
    <xf numFmtId="168" fontId="24" fillId="0" borderId="0" xfId="2" applyFont="1" applyAlignment="1" applyProtection="1">
      <alignment horizontal="center"/>
      <protection locked="0"/>
    </xf>
    <xf numFmtId="168" fontId="24" fillId="0" borderId="0" xfId="2" quotePrefix="1" applyFont="1" applyAlignment="1" applyProtection="1">
      <alignment horizontal="center"/>
      <protection locked="0"/>
    </xf>
    <xf numFmtId="168" fontId="4" fillId="0" borderId="0" xfId="2" applyFont="1" applyAlignment="1">
      <alignment horizontal="centerContinuous"/>
    </xf>
    <xf numFmtId="168" fontId="10" fillId="0" borderId="0" xfId="2" quotePrefix="1" applyFont="1" applyAlignment="1">
      <alignment horizontal="centerContinuous"/>
    </xf>
    <xf numFmtId="168" fontId="10" fillId="0" borderId="0" xfId="2" quotePrefix="1" applyFont="1" applyAlignment="1" applyProtection="1">
      <alignment horizontal="centerContinuous"/>
      <protection locked="0"/>
    </xf>
    <xf numFmtId="168" fontId="11" fillId="0" borderId="0" xfId="2" applyFont="1" applyAlignment="1">
      <alignment horizontal="center"/>
    </xf>
    <xf numFmtId="168" fontId="23" fillId="0" borderId="0" xfId="3" applyFont="1" applyAlignment="1" applyProtection="1">
      <alignment horizontal="center"/>
      <protection locked="0"/>
    </xf>
    <xf numFmtId="168" fontId="24" fillId="0" borderId="0" xfId="3" applyFont="1" applyAlignment="1" applyProtection="1">
      <alignment horizontal="center"/>
      <protection locked="0"/>
    </xf>
    <xf numFmtId="168" fontId="23" fillId="0" borderId="0" xfId="3" applyFont="1" applyAlignment="1">
      <alignment horizontal="centerContinuous"/>
    </xf>
    <xf numFmtId="168" fontId="10" fillId="0" borderId="0" xfId="3" quotePrefix="1" applyFont="1" applyAlignment="1">
      <alignment horizontal="centerContinuous"/>
    </xf>
    <xf numFmtId="168" fontId="10" fillId="0" borderId="0" xfId="3" quotePrefix="1" applyFont="1" applyAlignment="1" applyProtection="1">
      <alignment horizontal="centerContinuous"/>
      <protection locked="0"/>
    </xf>
    <xf numFmtId="168" fontId="5" fillId="0" borderId="0" xfId="3" applyFont="1" applyAlignment="1">
      <alignment horizontal="centerContinuous"/>
    </xf>
    <xf numFmtId="0" fontId="11" fillId="0" borderId="0" xfId="1" applyFont="1" applyAlignment="1">
      <alignment horizontal="center"/>
    </xf>
    <xf numFmtId="37" fontId="20" fillId="0" borderId="0" xfId="1" applyNumberFormat="1" applyFont="1" applyProtection="1">
      <protection locked="0"/>
    </xf>
    <xf numFmtId="37" fontId="20" fillId="0" borderId="0" xfId="3" applyNumberFormat="1" applyFont="1" applyProtection="1">
      <protection locked="0"/>
    </xf>
    <xf numFmtId="37" fontId="20" fillId="0" borderId="0" xfId="3" applyNumberFormat="1" applyFont="1" applyAlignment="1"/>
    <xf numFmtId="37" fontId="10" fillId="0" borderId="0" xfId="3" applyNumberFormat="1" applyFont="1" applyProtection="1"/>
    <xf numFmtId="168" fontId="22" fillId="0" borderId="0" xfId="3" quotePrefix="1" applyFont="1" applyAlignment="1">
      <alignment horizontal="left"/>
    </xf>
    <xf numFmtId="0" fontId="10" fillId="0" borderId="0" xfId="0" applyFont="1" applyAlignment="1">
      <alignment horizontal="center"/>
    </xf>
    <xf numFmtId="168" fontId="10" fillId="0" borderId="0" xfId="3" applyFont="1" applyAlignment="1">
      <alignment horizontal="centerContinuous"/>
    </xf>
    <xf numFmtId="49" fontId="10" fillId="0" borderId="0" xfId="3" applyNumberFormat="1" applyFont="1" applyBorder="1" applyAlignment="1" applyProtection="1">
      <alignment horizontal="centerContinuous"/>
      <protection locked="0"/>
    </xf>
    <xf numFmtId="168" fontId="8" fillId="0" borderId="0" xfId="3" applyFont="1" applyAlignment="1">
      <alignment horizontal="centerContinuous"/>
    </xf>
    <xf numFmtId="168" fontId="4" fillId="0" borderId="0" xfId="3" applyFont="1" applyBorder="1" applyAlignment="1" applyProtection="1">
      <alignment horizontal="centerContinuous"/>
      <protection locked="0"/>
    </xf>
    <xf numFmtId="49" fontId="11" fillId="0" borderId="0" xfId="3" applyNumberFormat="1" applyFont="1" applyBorder="1" applyAlignment="1" applyProtection="1">
      <alignment horizontal="centerContinuous"/>
      <protection locked="0"/>
    </xf>
    <xf numFmtId="0" fontId="1" fillId="0" borderId="0" xfId="0" applyFont="1" applyAlignment="1">
      <alignment horizontal="center"/>
    </xf>
    <xf numFmtId="37" fontId="19" fillId="0" borderId="0" xfId="1" applyNumberFormat="1" applyFont="1" applyProtection="1">
      <protection locked="0"/>
    </xf>
    <xf numFmtId="37" fontId="19" fillId="0" borderId="0" xfId="3" applyNumberFormat="1" applyFont="1" applyProtection="1"/>
    <xf numFmtId="49" fontId="10" fillId="0" borderId="0" xfId="1" applyNumberFormat="1" applyFont="1" applyAlignment="1" applyProtection="1">
      <alignment horizontal="centerContinuous"/>
      <protection locked="0"/>
    </xf>
    <xf numFmtId="37" fontId="19" fillId="0" borderId="0" xfId="1" applyNumberFormat="1" applyFont="1" applyProtection="1"/>
    <xf numFmtId="37" fontId="20" fillId="0" borderId="0" xfId="3" applyNumberFormat="1" applyFont="1"/>
    <xf numFmtId="0" fontId="13" fillId="0" borderId="0" xfId="1" applyFont="1" applyAlignment="1">
      <alignment horizontal="left"/>
    </xf>
    <xf numFmtId="37" fontId="25" fillId="0" borderId="0" xfId="3" applyNumberFormat="1" applyFont="1" applyProtection="1">
      <protection locked="0"/>
    </xf>
    <xf numFmtId="0" fontId="10" fillId="0" borderId="0" xfId="1" applyFont="1" applyAlignment="1">
      <alignment horizontal="centerContinuous"/>
    </xf>
    <xf numFmtId="37" fontId="12" fillId="0" borderId="0" xfId="3" applyNumberFormat="1" applyFont="1" applyAlignment="1"/>
    <xf numFmtId="37" fontId="26" fillId="0" borderId="0" xfId="3" applyNumberFormat="1" applyFont="1" applyProtection="1">
      <protection locked="0"/>
    </xf>
    <xf numFmtId="168" fontId="8" fillId="0" borderId="0" xfId="3" quotePrefix="1" applyFont="1" applyAlignment="1">
      <alignment horizontal="center"/>
    </xf>
    <xf numFmtId="37" fontId="27" fillId="0" borderId="0" xfId="1" applyNumberFormat="1" applyFont="1" applyProtection="1"/>
    <xf numFmtId="37" fontId="8" fillId="0" borderId="0" xfId="1" applyNumberFormat="1" applyFont="1" applyProtection="1"/>
    <xf numFmtId="37" fontId="19" fillId="0" borderId="0" xfId="3" applyNumberFormat="1" applyFont="1" applyProtection="1">
      <protection locked="0"/>
    </xf>
    <xf numFmtId="37" fontId="8" fillId="0" borderId="0" xfId="3" applyNumberFormat="1" applyFont="1" applyProtection="1"/>
    <xf numFmtId="37" fontId="7" fillId="2" borderId="0" xfId="3" applyNumberFormat="1" applyFont="1" applyFill="1"/>
    <xf numFmtId="37" fontId="5" fillId="0" borderId="0" xfId="3" applyNumberFormat="1" applyFont="1" applyFill="1" applyProtection="1"/>
    <xf numFmtId="168" fontId="5" fillId="0" borderId="0" xfId="3" applyFont="1" applyFill="1"/>
    <xf numFmtId="37" fontId="7" fillId="2" borderId="0" xfId="3" applyNumberFormat="1" applyFont="1" applyFill="1" applyAlignment="1"/>
    <xf numFmtId="168" fontId="19" fillId="0" borderId="0" xfId="3" applyFont="1" applyAlignment="1"/>
    <xf numFmtId="37" fontId="28" fillId="0" borderId="0" xfId="3" applyNumberFormat="1" applyFont="1" applyProtection="1"/>
    <xf numFmtId="165" fontId="13" fillId="0" borderId="0" xfId="2" quotePrefix="1" applyNumberFormat="1" applyFont="1" applyAlignment="1" applyProtection="1">
      <alignment horizontal="left"/>
    </xf>
    <xf numFmtId="37" fontId="12" fillId="0" borderId="0" xfId="2" applyNumberFormat="1" applyFont="1" applyProtection="1">
      <protection locked="0"/>
    </xf>
    <xf numFmtId="37" fontId="19" fillId="0" borderId="0" xfId="2" applyNumberFormat="1" applyFont="1" applyProtection="1">
      <protection locked="0"/>
    </xf>
    <xf numFmtId="168" fontId="6" fillId="0" borderId="0" xfId="2" applyFont="1" applyAlignment="1">
      <alignment horizontal="center"/>
    </xf>
    <xf numFmtId="168" fontId="5" fillId="0" borderId="0" xfId="2" applyFont="1" applyAlignment="1">
      <alignment horizontal="centerContinuous"/>
    </xf>
    <xf numFmtId="49" fontId="11" fillId="0" borderId="0" xfId="2" applyNumberFormat="1" applyFont="1" applyAlignment="1">
      <alignment horizontal="center"/>
    </xf>
    <xf numFmtId="168" fontId="19" fillId="0" borderId="0" xfId="3" quotePrefix="1" applyFont="1" applyAlignment="1">
      <alignment horizontal="left"/>
    </xf>
    <xf numFmtId="168" fontId="2" fillId="0" borderId="0" xfId="2" applyAlignment="1">
      <alignment horizontal="centerContinuous"/>
    </xf>
    <xf numFmtId="37" fontId="25" fillId="0" borderId="0" xfId="2" applyNumberFormat="1" applyFont="1" applyProtection="1">
      <protection locked="0"/>
    </xf>
    <xf numFmtId="168" fontId="4" fillId="0" borderId="0" xfId="3" applyFont="1" applyBorder="1" applyAlignment="1">
      <alignment horizontal="centerContinuous"/>
    </xf>
    <xf numFmtId="168" fontId="4" fillId="0" borderId="2" xfId="3" applyFont="1" applyBorder="1" applyAlignment="1">
      <alignment horizontal="centerContinuous"/>
    </xf>
    <xf numFmtId="168" fontId="5" fillId="0" borderId="0" xfId="0" applyNumberFormat="1" applyFont="1"/>
    <xf numFmtId="0" fontId="5" fillId="0" borderId="0" xfId="0" applyFont="1"/>
    <xf numFmtId="37" fontId="6" fillId="0" borderId="0" xfId="3" applyNumberFormat="1" applyFont="1"/>
    <xf numFmtId="168" fontId="10" fillId="0" borderId="0" xfId="3" quotePrefix="1" applyFont="1" applyAlignment="1"/>
    <xf numFmtId="168" fontId="4" fillId="0" borderId="0" xfId="3" applyFont="1" applyAlignment="1"/>
    <xf numFmtId="37" fontId="6" fillId="0" borderId="0" xfId="3" applyNumberFormat="1" applyFont="1" applyAlignment="1"/>
    <xf numFmtId="37" fontId="6" fillId="2" borderId="0" xfId="3" applyNumberFormat="1" applyFont="1" applyFill="1" applyAlignment="1"/>
    <xf numFmtId="168" fontId="10" fillId="0" borderId="0" xfId="3" applyFont="1" applyAlignment="1"/>
    <xf numFmtId="37" fontId="19" fillId="0" borderId="0" xfId="1" applyNumberFormat="1" applyFont="1"/>
    <xf numFmtId="37" fontId="8" fillId="0" borderId="0" xfId="1" quotePrefix="1" applyNumberFormat="1" applyFont="1" applyAlignment="1" applyProtection="1">
      <protection locked="0"/>
    </xf>
    <xf numFmtId="37" fontId="5" fillId="3" borderId="0" xfId="3" applyNumberFormat="1" applyFont="1" applyFill="1"/>
    <xf numFmtId="37" fontId="5" fillId="2" borderId="0" xfId="3" applyNumberFormat="1" applyFont="1" applyFill="1" applyProtection="1">
      <protection locked="0"/>
    </xf>
    <xf numFmtId="168" fontId="5" fillId="0" borderId="0" xfId="3" quotePrefix="1" applyFont="1" applyAlignment="1">
      <alignment horizontal="left"/>
    </xf>
    <xf numFmtId="168" fontId="4" fillId="0" borderId="0" xfId="3" quotePrefix="1" applyFont="1" applyAlignment="1">
      <alignment horizontal="left"/>
    </xf>
    <xf numFmtId="37" fontId="8" fillId="0" borderId="0" xfId="3" applyNumberFormat="1" applyFont="1"/>
    <xf numFmtId="37" fontId="12" fillId="0" borderId="0" xfId="3" applyNumberFormat="1" applyFont="1"/>
    <xf numFmtId="49" fontId="10" fillId="0" borderId="0" xfId="3" applyNumberFormat="1" applyFont="1" applyAlignment="1" applyProtection="1">
      <alignment horizontal="center"/>
      <protection locked="0"/>
    </xf>
    <xf numFmtId="37" fontId="27" fillId="0" borderId="0" xfId="1" applyNumberFormat="1" applyFont="1" applyProtection="1">
      <protection locked="0"/>
    </xf>
    <xf numFmtId="37" fontId="28" fillId="0" borderId="0" xfId="1" applyNumberFormat="1" applyFont="1" applyProtection="1">
      <protection locked="0"/>
    </xf>
    <xf numFmtId="37" fontId="29" fillId="0" borderId="0" xfId="1" applyNumberFormat="1" applyFont="1" applyProtection="1"/>
    <xf numFmtId="37" fontId="28" fillId="0" borderId="0" xfId="1" applyNumberFormat="1" applyFont="1" applyProtection="1"/>
    <xf numFmtId="37" fontId="19" fillId="0" borderId="0" xfId="3" applyNumberFormat="1" applyFont="1" applyAlignment="1"/>
    <xf numFmtId="49" fontId="10" fillId="0" borderId="0" xfId="1" applyNumberFormat="1" applyFont="1" applyAlignment="1" applyProtection="1">
      <alignment horizontal="center"/>
      <protection locked="0"/>
    </xf>
    <xf numFmtId="37" fontId="21" fillId="0" borderId="0" xfId="3" applyNumberFormat="1" applyFont="1" applyAlignment="1"/>
    <xf numFmtId="37" fontId="12" fillId="0" borderId="0" xfId="1" applyNumberFormat="1" applyFont="1" applyProtection="1"/>
    <xf numFmtId="37" fontId="27" fillId="0" borderId="0" xfId="2" applyNumberFormat="1" applyFont="1" applyProtection="1">
      <protection locked="0"/>
    </xf>
    <xf numFmtId="168" fontId="30" fillId="0" borderId="0" xfId="2" applyFont="1" applyAlignment="1">
      <alignment horizontal="center"/>
    </xf>
    <xf numFmtId="168" fontId="31" fillId="0" borderId="0" xfId="2" applyFont="1" applyAlignment="1">
      <alignment horizontal="center"/>
    </xf>
    <xf numFmtId="37" fontId="26" fillId="0" borderId="0" xfId="2" applyNumberFormat="1" applyFont="1" applyProtection="1">
      <protection locked="0"/>
    </xf>
    <xf numFmtId="170" fontId="3" fillId="0" borderId="0" xfId="3" applyNumberFormat="1" applyFont="1" applyProtection="1"/>
    <xf numFmtId="37" fontId="8" fillId="0" borderId="0" xfId="2" applyNumberFormat="1" applyFont="1" applyProtection="1"/>
    <xf numFmtId="37" fontId="25" fillId="0" borderId="0" xfId="1" applyNumberFormat="1" applyFont="1" applyProtection="1"/>
    <xf numFmtId="37" fontId="32" fillId="0" borderId="0" xfId="3" applyNumberFormat="1" applyFont="1" applyProtection="1"/>
    <xf numFmtId="0" fontId="10" fillId="0" borderId="0" xfId="1" quotePrefix="1" applyFont="1" applyAlignment="1" applyProtection="1">
      <alignment horizontal="center"/>
      <protection locked="0"/>
    </xf>
    <xf numFmtId="168" fontId="10" fillId="0" borderId="0" xfId="3" quotePrefix="1" applyFont="1" applyAlignment="1" applyProtection="1">
      <alignment horizontal="center"/>
      <protection locked="0"/>
    </xf>
  </cellXfs>
  <cellStyles count="4">
    <cellStyle name="Normal" xfId="0" builtinId="0"/>
    <cellStyle name="Normal_BACKUP" xfId="1"/>
    <cellStyle name="Normal_BALSHEET" xfId="2"/>
    <cellStyle name="Normal_CASHFLOW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590550</xdr:colOff>
          <xdr:row>4</xdr:row>
          <xdr:rowOff>0</xdr:rowOff>
        </xdr:from>
        <xdr:to>
          <xdr:col>0</xdr:col>
          <xdr:colOff>1666875</xdr:colOff>
          <xdr:row>7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Backup Pages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876300</xdr:colOff>
          <xdr:row>3</xdr:row>
          <xdr:rowOff>9525</xdr:rowOff>
        </xdr:from>
        <xdr:to>
          <xdr:col>1</xdr:col>
          <xdr:colOff>1905000</xdr:colOff>
          <xdr:row>6</xdr:row>
          <xdr:rowOff>85725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Balance Sheet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1476375</xdr:colOff>
          <xdr:row>2</xdr:row>
          <xdr:rowOff>104775</xdr:rowOff>
        </xdr:from>
        <xdr:to>
          <xdr:col>1</xdr:col>
          <xdr:colOff>76200</xdr:colOff>
          <xdr:row>6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Cash Flow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1476375</xdr:colOff>
          <xdr:row>0</xdr:row>
          <xdr:rowOff>0</xdr:rowOff>
        </xdr:from>
        <xdr:to>
          <xdr:col>1</xdr:col>
          <xdr:colOff>76200</xdr:colOff>
          <xdr:row>0</xdr:row>
          <xdr:rowOff>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Cash Flow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NNG01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Sales&amp;Liq-COS"/>
      <sheetName val="Transport"/>
      <sheetName val="OtherRev"/>
      <sheetName val="O&amp;M"/>
      <sheetName val="Trackers"/>
      <sheetName val="RegAmort"/>
      <sheetName val="TC&amp;S"/>
      <sheetName val="Fuel-Depr-OtherTax"/>
      <sheetName val="OtherInc"/>
      <sheetName val="IntDeduct"/>
      <sheetName val="DeferredTax"/>
      <sheetName val="IncomeState"/>
      <sheetName val="Source"/>
      <sheetName val="Mymod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4">
          <cell r="C24">
            <v>26</v>
          </cell>
          <cell r="D24">
            <v>26</v>
          </cell>
          <cell r="E24">
            <v>26</v>
          </cell>
          <cell r="F24">
            <v>26</v>
          </cell>
          <cell r="G24">
            <v>26</v>
          </cell>
          <cell r="H24">
            <v>26</v>
          </cell>
          <cell r="I24">
            <v>26</v>
          </cell>
          <cell r="J24">
            <v>26</v>
          </cell>
          <cell r="K24">
            <v>26</v>
          </cell>
          <cell r="L24">
            <v>26</v>
          </cell>
          <cell r="M24">
            <v>26</v>
          </cell>
          <cell r="N24">
            <v>26</v>
          </cell>
        </row>
      </sheetData>
      <sheetData sheetId="9"/>
      <sheetData sheetId="10"/>
      <sheetData sheetId="11">
        <row r="71">
          <cell r="R71">
            <v>-9</v>
          </cell>
          <cell r="S71">
            <v>-9</v>
          </cell>
          <cell r="T71">
            <v>-9</v>
          </cell>
          <cell r="U71">
            <v>-9</v>
          </cell>
          <cell r="V71">
            <v>-9</v>
          </cell>
          <cell r="W71">
            <v>-10</v>
          </cell>
          <cell r="X71">
            <v>-9</v>
          </cell>
          <cell r="Y71">
            <v>-9</v>
          </cell>
          <cell r="Z71">
            <v>-9</v>
          </cell>
          <cell r="AA71">
            <v>-9</v>
          </cell>
          <cell r="AB71">
            <v>-9</v>
          </cell>
          <cell r="AC71">
            <v>-9</v>
          </cell>
        </row>
      </sheetData>
      <sheetData sheetId="12">
        <row r="124">
          <cell r="C124">
            <v>28</v>
          </cell>
          <cell r="D124">
            <v>28</v>
          </cell>
          <cell r="E124">
            <v>29</v>
          </cell>
          <cell r="F124">
            <v>28</v>
          </cell>
          <cell r="G124">
            <v>28</v>
          </cell>
          <cell r="H124">
            <v>28</v>
          </cell>
          <cell r="I124">
            <v>29</v>
          </cell>
          <cell r="J124">
            <v>28</v>
          </cell>
          <cell r="K124">
            <v>28</v>
          </cell>
          <cell r="L124">
            <v>28</v>
          </cell>
          <cell r="M124">
            <v>28</v>
          </cell>
          <cell r="N124">
            <v>28</v>
          </cell>
        </row>
        <row r="152">
          <cell r="C152">
            <v>268</v>
          </cell>
          <cell r="D152">
            <v>199</v>
          </cell>
          <cell r="E152">
            <v>195</v>
          </cell>
          <cell r="F152">
            <v>534</v>
          </cell>
          <cell r="G152">
            <v>195</v>
          </cell>
          <cell r="H152">
            <v>237</v>
          </cell>
          <cell r="I152">
            <v>202</v>
          </cell>
          <cell r="J152">
            <v>180</v>
          </cell>
          <cell r="K152">
            <v>200</v>
          </cell>
          <cell r="L152">
            <v>244</v>
          </cell>
          <cell r="M152">
            <v>258</v>
          </cell>
          <cell r="N152">
            <v>1</v>
          </cell>
        </row>
        <row r="153">
          <cell r="C153">
            <v>-84</v>
          </cell>
          <cell r="D153">
            <v>-84</v>
          </cell>
          <cell r="E153">
            <v>-85</v>
          </cell>
          <cell r="F153">
            <v>-85</v>
          </cell>
          <cell r="G153">
            <v>-84</v>
          </cell>
          <cell r="H153">
            <v>-85</v>
          </cell>
          <cell r="I153">
            <v>-84</v>
          </cell>
          <cell r="J153">
            <v>-85</v>
          </cell>
          <cell r="K153">
            <v>-84</v>
          </cell>
          <cell r="L153">
            <v>-128</v>
          </cell>
          <cell r="M153">
            <v>-135</v>
          </cell>
          <cell r="N153">
            <v>-6</v>
          </cell>
        </row>
        <row r="157">
          <cell r="C157">
            <v>313</v>
          </cell>
          <cell r="D157">
            <v>186</v>
          </cell>
          <cell r="E157">
            <v>174</v>
          </cell>
          <cell r="F157">
            <v>807</v>
          </cell>
          <cell r="G157">
            <v>179</v>
          </cell>
          <cell r="H157">
            <v>256</v>
          </cell>
          <cell r="I157">
            <v>188</v>
          </cell>
          <cell r="J157">
            <v>149</v>
          </cell>
          <cell r="K157">
            <v>183</v>
          </cell>
          <cell r="L157">
            <v>187</v>
          </cell>
          <cell r="M157">
            <v>197</v>
          </cell>
          <cell r="N157">
            <v>-8</v>
          </cell>
        </row>
      </sheetData>
      <sheetData sheetId="13">
        <row r="4">
          <cell r="B4">
            <v>37153.588281597222</v>
          </cell>
        </row>
        <row r="5">
          <cell r="B5">
            <v>37153.588281597222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D9">
            <v>938</v>
          </cell>
          <cell r="E9">
            <v>1057</v>
          </cell>
          <cell r="F9">
            <v>640</v>
          </cell>
          <cell r="G9">
            <v>13700</v>
          </cell>
          <cell r="H9">
            <v>9784</v>
          </cell>
          <cell r="I9">
            <v>6168</v>
          </cell>
          <cell r="J9">
            <v>664</v>
          </cell>
          <cell r="K9">
            <v>332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D10">
            <v>58990</v>
          </cell>
          <cell r="E10">
            <v>56794</v>
          </cell>
          <cell r="F10">
            <v>56760</v>
          </cell>
          <cell r="G10">
            <v>25253</v>
          </cell>
          <cell r="H10">
            <v>23451</v>
          </cell>
          <cell r="I10">
            <v>27237</v>
          </cell>
          <cell r="J10">
            <v>25968</v>
          </cell>
          <cell r="K10">
            <v>26056</v>
          </cell>
          <cell r="L10">
            <v>24700</v>
          </cell>
          <cell r="M10">
            <v>24081</v>
          </cell>
          <cell r="N10">
            <v>52968</v>
          </cell>
          <cell r="O10">
            <v>54016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D12">
            <v>240</v>
          </cell>
          <cell r="E12">
            <v>604</v>
          </cell>
          <cell r="F12">
            <v>656</v>
          </cell>
          <cell r="G12">
            <v>383</v>
          </cell>
          <cell r="H12">
            <v>658</v>
          </cell>
          <cell r="I12">
            <v>174</v>
          </cell>
          <cell r="J12">
            <v>177</v>
          </cell>
          <cell r="K12">
            <v>392</v>
          </cell>
          <cell r="L12">
            <v>331</v>
          </cell>
          <cell r="M12">
            <v>331</v>
          </cell>
          <cell r="N12">
            <v>431</v>
          </cell>
          <cell r="O12">
            <v>581</v>
          </cell>
        </row>
        <row r="13">
          <cell r="D13">
            <v>1743</v>
          </cell>
          <cell r="E13">
            <v>1652</v>
          </cell>
          <cell r="F13">
            <v>791</v>
          </cell>
          <cell r="G13">
            <v>1066</v>
          </cell>
          <cell r="H13">
            <v>-334</v>
          </cell>
          <cell r="I13">
            <v>407</v>
          </cell>
          <cell r="J13">
            <v>-194</v>
          </cell>
          <cell r="K13">
            <v>264</v>
          </cell>
          <cell r="L13">
            <v>281</v>
          </cell>
          <cell r="M13">
            <v>281</v>
          </cell>
          <cell r="N13">
            <v>281</v>
          </cell>
          <cell r="O13">
            <v>1012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D16">
            <v>0</v>
          </cell>
          <cell r="E16">
            <v>0</v>
          </cell>
          <cell r="F16">
            <v>-1</v>
          </cell>
          <cell r="G16">
            <v>-1</v>
          </cell>
          <cell r="H16">
            <v>0</v>
          </cell>
          <cell r="I16">
            <v>-1</v>
          </cell>
          <cell r="J16">
            <v>0</v>
          </cell>
          <cell r="K16">
            <v>-1</v>
          </cell>
          <cell r="L16">
            <v>0</v>
          </cell>
          <cell r="M16">
            <v>-1</v>
          </cell>
          <cell r="N16">
            <v>0</v>
          </cell>
          <cell r="O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D18">
            <v>-71</v>
          </cell>
          <cell r="E18">
            <v>-72</v>
          </cell>
          <cell r="F18">
            <v>-73</v>
          </cell>
          <cell r="G18">
            <v>-73</v>
          </cell>
          <cell r="H18">
            <v>-71</v>
          </cell>
          <cell r="I18">
            <v>-70</v>
          </cell>
          <cell r="J18">
            <v>-71</v>
          </cell>
          <cell r="K18">
            <v>-64</v>
          </cell>
          <cell r="L18">
            <v>-62</v>
          </cell>
          <cell r="M18">
            <v>0</v>
          </cell>
          <cell r="N18">
            <v>0</v>
          </cell>
          <cell r="O18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D21">
            <v>1144</v>
          </cell>
          <cell r="E21">
            <v>1078</v>
          </cell>
          <cell r="F21">
            <v>204</v>
          </cell>
          <cell r="G21">
            <v>506</v>
          </cell>
          <cell r="H21">
            <v>-893</v>
          </cell>
          <cell r="I21">
            <v>-151</v>
          </cell>
          <cell r="J21">
            <v>-753</v>
          </cell>
          <cell r="K21">
            <v>-284</v>
          </cell>
          <cell r="L21">
            <v>-290</v>
          </cell>
          <cell r="M21">
            <v>-277</v>
          </cell>
          <cell r="N21">
            <v>-278</v>
          </cell>
          <cell r="O21">
            <v>454</v>
          </cell>
        </row>
        <row r="22">
          <cell r="D22">
            <v>-721</v>
          </cell>
          <cell r="E22">
            <v>-520</v>
          </cell>
          <cell r="F22">
            <v>-525</v>
          </cell>
          <cell r="G22">
            <v>-39</v>
          </cell>
          <cell r="H22">
            <v>2874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-589</v>
          </cell>
          <cell r="O22">
            <v>-589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D27">
            <v>-567</v>
          </cell>
          <cell r="E27">
            <v>60</v>
          </cell>
          <cell r="F27">
            <v>60</v>
          </cell>
          <cell r="G27">
            <v>60</v>
          </cell>
          <cell r="H27">
            <v>60</v>
          </cell>
          <cell r="I27">
            <v>60</v>
          </cell>
          <cell r="J27">
            <v>59</v>
          </cell>
          <cell r="K27">
            <v>-343</v>
          </cell>
          <cell r="L27">
            <v>60</v>
          </cell>
          <cell r="M27">
            <v>60</v>
          </cell>
          <cell r="N27">
            <v>60</v>
          </cell>
          <cell r="O27">
            <v>60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D29">
            <v>-86</v>
          </cell>
          <cell r="E29">
            <v>-85</v>
          </cell>
          <cell r="F29">
            <v>-86</v>
          </cell>
          <cell r="G29">
            <v>-86</v>
          </cell>
          <cell r="H29">
            <v>-86</v>
          </cell>
          <cell r="I29">
            <v>-85</v>
          </cell>
          <cell r="J29">
            <v>-86</v>
          </cell>
          <cell r="K29">
            <v>-85</v>
          </cell>
          <cell r="L29">
            <v>-86</v>
          </cell>
          <cell r="M29">
            <v>-85</v>
          </cell>
          <cell r="N29">
            <v>-86</v>
          </cell>
          <cell r="O29">
            <v>-86</v>
          </cell>
        </row>
        <row r="30">
          <cell r="D30">
            <v>-127</v>
          </cell>
          <cell r="E30">
            <v>-126</v>
          </cell>
          <cell r="F30">
            <v>-127</v>
          </cell>
          <cell r="G30">
            <v>-126</v>
          </cell>
          <cell r="H30">
            <v>-127</v>
          </cell>
          <cell r="I30">
            <v>-126</v>
          </cell>
          <cell r="J30">
            <v>-127</v>
          </cell>
          <cell r="K30">
            <v>-126</v>
          </cell>
          <cell r="L30">
            <v>-127</v>
          </cell>
          <cell r="M30">
            <v>-126</v>
          </cell>
          <cell r="N30">
            <v>-127</v>
          </cell>
          <cell r="O30">
            <v>-127</v>
          </cell>
        </row>
        <row r="31">
          <cell r="D31">
            <v>-28</v>
          </cell>
          <cell r="E31">
            <v>-28</v>
          </cell>
          <cell r="F31">
            <v>-28</v>
          </cell>
          <cell r="G31">
            <v>-28</v>
          </cell>
          <cell r="H31">
            <v>-28</v>
          </cell>
          <cell r="I31">
            <v>-28</v>
          </cell>
          <cell r="J31">
            <v>-28</v>
          </cell>
          <cell r="K31">
            <v>-27</v>
          </cell>
          <cell r="L31">
            <v>-28</v>
          </cell>
          <cell r="M31">
            <v>-28</v>
          </cell>
          <cell r="N31">
            <v>-28</v>
          </cell>
          <cell r="O31">
            <v>-28</v>
          </cell>
        </row>
        <row r="32">
          <cell r="D32">
            <v>-143</v>
          </cell>
          <cell r="E32">
            <v>-143</v>
          </cell>
          <cell r="F32">
            <v>-144</v>
          </cell>
          <cell r="G32">
            <v>-143</v>
          </cell>
          <cell r="H32">
            <v>-143</v>
          </cell>
          <cell r="I32">
            <v>-144</v>
          </cell>
          <cell r="J32">
            <v>-143</v>
          </cell>
          <cell r="K32">
            <v>-144</v>
          </cell>
          <cell r="L32">
            <v>-143</v>
          </cell>
          <cell r="M32">
            <v>-144</v>
          </cell>
          <cell r="N32">
            <v>349</v>
          </cell>
          <cell r="O32">
            <v>350</v>
          </cell>
        </row>
        <row r="33">
          <cell r="D33">
            <v>243</v>
          </cell>
          <cell r="E33">
            <v>243</v>
          </cell>
          <cell r="F33">
            <v>1700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228</v>
          </cell>
          <cell r="N33">
            <v>228</v>
          </cell>
          <cell r="O33">
            <v>228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D35">
            <v>-3</v>
          </cell>
          <cell r="E35">
            <v>1</v>
          </cell>
          <cell r="F35">
            <v>-2</v>
          </cell>
          <cell r="G35">
            <v>4</v>
          </cell>
          <cell r="H35">
            <v>19</v>
          </cell>
          <cell r="I35">
            <v>108</v>
          </cell>
          <cell r="J35">
            <v>42</v>
          </cell>
          <cell r="K35">
            <v>45</v>
          </cell>
          <cell r="L35">
            <v>16</v>
          </cell>
          <cell r="M35">
            <v>19</v>
          </cell>
          <cell r="N35">
            <v>3</v>
          </cell>
          <cell r="O35">
            <v>9</v>
          </cell>
        </row>
        <row r="37">
          <cell r="D37">
            <v>2731</v>
          </cell>
          <cell r="E37">
            <v>2675</v>
          </cell>
          <cell r="F37">
            <v>2871</v>
          </cell>
          <cell r="G37">
            <v>2720</v>
          </cell>
          <cell r="H37">
            <v>2665</v>
          </cell>
          <cell r="I37">
            <v>2909</v>
          </cell>
          <cell r="J37">
            <v>2761</v>
          </cell>
          <cell r="K37">
            <v>2765</v>
          </cell>
          <cell r="L37">
            <v>2775</v>
          </cell>
          <cell r="M37">
            <v>4076</v>
          </cell>
          <cell r="N37">
            <v>3317</v>
          </cell>
          <cell r="O37">
            <v>3368</v>
          </cell>
        </row>
        <row r="38">
          <cell r="D38">
            <v>-1110</v>
          </cell>
          <cell r="E38">
            <v>-1178</v>
          </cell>
          <cell r="F38">
            <v>-1029</v>
          </cell>
          <cell r="G38">
            <v>-1091</v>
          </cell>
          <cell r="H38">
            <v>-1090</v>
          </cell>
          <cell r="I38">
            <v>-1090</v>
          </cell>
          <cell r="J38">
            <v>-1090</v>
          </cell>
          <cell r="K38">
            <v>-1090</v>
          </cell>
          <cell r="L38">
            <v>-1125</v>
          </cell>
          <cell r="M38">
            <v>-1124</v>
          </cell>
          <cell r="N38">
            <v>-633</v>
          </cell>
          <cell r="O38">
            <v>-632</v>
          </cell>
        </row>
        <row r="40">
          <cell r="D40">
            <v>-544</v>
          </cell>
          <cell r="E40">
            <v>-852</v>
          </cell>
          <cell r="F40">
            <v>-415</v>
          </cell>
          <cell r="G40">
            <v>-397</v>
          </cell>
          <cell r="H40">
            <v>-406</v>
          </cell>
          <cell r="I40">
            <v>-409</v>
          </cell>
          <cell r="J40">
            <v>-385</v>
          </cell>
          <cell r="K40">
            <v>-377</v>
          </cell>
          <cell r="L40">
            <v>-346</v>
          </cell>
          <cell r="M40">
            <v>-341</v>
          </cell>
          <cell r="N40">
            <v>-341</v>
          </cell>
          <cell r="O40">
            <v>-453</v>
          </cell>
        </row>
        <row r="41">
          <cell r="D41">
            <v>2907</v>
          </cell>
          <cell r="E41">
            <v>3202</v>
          </cell>
          <cell r="F41">
            <v>2707</v>
          </cell>
          <cell r="G41">
            <v>2710</v>
          </cell>
          <cell r="H41">
            <v>2704</v>
          </cell>
          <cell r="I41">
            <v>2721</v>
          </cell>
          <cell r="J41">
            <v>2674</v>
          </cell>
          <cell r="K41">
            <v>2686</v>
          </cell>
          <cell r="L41">
            <v>2645</v>
          </cell>
          <cell r="M41">
            <v>2640</v>
          </cell>
          <cell r="N41">
            <v>2640</v>
          </cell>
          <cell r="O41">
            <v>2752</v>
          </cell>
        </row>
        <row r="42">
          <cell r="D42">
            <v>1926</v>
          </cell>
          <cell r="E42">
            <v>2137</v>
          </cell>
          <cell r="F42">
            <v>1570</v>
          </cell>
          <cell r="G42">
            <v>1074</v>
          </cell>
          <cell r="H42">
            <v>828</v>
          </cell>
          <cell r="I42">
            <v>-555</v>
          </cell>
          <cell r="J42">
            <v>3559</v>
          </cell>
          <cell r="K42">
            <v>72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</row>
        <row r="43">
          <cell r="D43">
            <v>525</v>
          </cell>
          <cell r="E43">
            <v>329</v>
          </cell>
          <cell r="F43">
            <v>313</v>
          </cell>
          <cell r="G43">
            <v>1284</v>
          </cell>
          <cell r="H43">
            <v>318</v>
          </cell>
          <cell r="I43">
            <v>436</v>
          </cell>
          <cell r="J43">
            <v>335</v>
          </cell>
          <cell r="K43">
            <v>270</v>
          </cell>
          <cell r="L43">
            <v>324</v>
          </cell>
          <cell r="M43">
            <v>325</v>
          </cell>
          <cell r="N43">
            <v>342</v>
          </cell>
          <cell r="O43">
            <v>16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7">
          <cell r="D47">
            <v>-39</v>
          </cell>
          <cell r="E47">
            <v>-38</v>
          </cell>
          <cell r="F47">
            <v>-39</v>
          </cell>
          <cell r="G47">
            <v>-38</v>
          </cell>
          <cell r="H47">
            <v>-39</v>
          </cell>
          <cell r="I47">
            <v>-38</v>
          </cell>
          <cell r="J47">
            <v>-39</v>
          </cell>
          <cell r="K47">
            <v>-38</v>
          </cell>
          <cell r="L47">
            <v>-39</v>
          </cell>
          <cell r="M47">
            <v>-38</v>
          </cell>
          <cell r="N47">
            <v>-39</v>
          </cell>
          <cell r="O47">
            <v>-39</v>
          </cell>
        </row>
        <row r="48">
          <cell r="D48">
            <v>1</v>
          </cell>
          <cell r="E48">
            <v>0</v>
          </cell>
          <cell r="F48">
            <v>1</v>
          </cell>
          <cell r="G48">
            <v>0</v>
          </cell>
          <cell r="H48">
            <v>1</v>
          </cell>
          <cell r="I48">
            <v>1</v>
          </cell>
          <cell r="J48">
            <v>0</v>
          </cell>
          <cell r="K48">
            <v>1</v>
          </cell>
          <cell r="L48">
            <v>0</v>
          </cell>
          <cell r="M48">
            <v>1</v>
          </cell>
          <cell r="N48">
            <v>0</v>
          </cell>
          <cell r="O48">
            <v>1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-2737</v>
          </cell>
          <cell r="M49">
            <v>0</v>
          </cell>
          <cell r="N49">
            <v>0</v>
          </cell>
          <cell r="O49">
            <v>0</v>
          </cell>
        </row>
        <row r="50">
          <cell r="D50">
            <v>0</v>
          </cell>
          <cell r="E50">
            <v>3000</v>
          </cell>
          <cell r="F50">
            <v>-27</v>
          </cell>
          <cell r="G50">
            <v>24</v>
          </cell>
          <cell r="H50">
            <v>22</v>
          </cell>
          <cell r="I50">
            <v>23</v>
          </cell>
          <cell r="J50">
            <v>23</v>
          </cell>
          <cell r="K50">
            <v>20</v>
          </cell>
          <cell r="L50">
            <v>20</v>
          </cell>
          <cell r="M50">
            <v>20</v>
          </cell>
          <cell r="N50">
            <v>20</v>
          </cell>
          <cell r="O50">
            <v>21</v>
          </cell>
        </row>
        <row r="51">
          <cell r="D51">
            <v>-9422</v>
          </cell>
          <cell r="E51">
            <v>-11999</v>
          </cell>
          <cell r="F51">
            <v>-12591</v>
          </cell>
          <cell r="G51">
            <v>21503</v>
          </cell>
          <cell r="H51">
            <v>1023</v>
          </cell>
          <cell r="I51">
            <v>-5003</v>
          </cell>
          <cell r="J51">
            <v>131</v>
          </cell>
          <cell r="K51">
            <v>1827</v>
          </cell>
          <cell r="L51">
            <v>1869</v>
          </cell>
          <cell r="M51">
            <v>-10912</v>
          </cell>
          <cell r="N51">
            <v>-11850</v>
          </cell>
          <cell r="O51">
            <v>-10262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D53">
            <v>3262</v>
          </cell>
          <cell r="E53">
            <v>150</v>
          </cell>
          <cell r="F53">
            <v>-1147</v>
          </cell>
          <cell r="G53">
            <v>23341</v>
          </cell>
          <cell r="H53">
            <v>1575</v>
          </cell>
          <cell r="I53">
            <v>-2983</v>
          </cell>
          <cell r="J53">
            <v>860</v>
          </cell>
          <cell r="K53">
            <v>3339</v>
          </cell>
          <cell r="L53">
            <v>2207</v>
          </cell>
          <cell r="M53">
            <v>-11814</v>
          </cell>
          <cell r="N53">
            <v>-1321</v>
          </cell>
          <cell r="O53">
            <v>659</v>
          </cell>
        </row>
        <row r="55">
          <cell r="D55">
            <v>12782</v>
          </cell>
          <cell r="E55">
            <v>12247</v>
          </cell>
          <cell r="F55">
            <v>11540</v>
          </cell>
          <cell r="G55">
            <v>1935</v>
          </cell>
          <cell r="H55">
            <v>649</v>
          </cell>
          <cell r="I55">
            <v>2005</v>
          </cell>
          <cell r="J55">
            <v>938</v>
          </cell>
          <cell r="K55">
            <v>1611</v>
          </cell>
          <cell r="L55">
            <v>435</v>
          </cell>
          <cell r="M55">
            <v>-761</v>
          </cell>
          <cell r="N55">
            <v>10677</v>
          </cell>
          <cell r="O55">
            <v>10940</v>
          </cell>
        </row>
        <row r="56">
          <cell r="D56">
            <v>19634</v>
          </cell>
          <cell r="E56">
            <v>18785</v>
          </cell>
          <cell r="F56">
            <v>17695</v>
          </cell>
          <cell r="G56">
            <v>3079</v>
          </cell>
          <cell r="H56">
            <v>992</v>
          </cell>
          <cell r="I56">
            <v>2966</v>
          </cell>
          <cell r="J56">
            <v>1548</v>
          </cell>
          <cell r="K56">
            <v>2474</v>
          </cell>
          <cell r="L56">
            <v>646</v>
          </cell>
          <cell r="M56">
            <v>-1185</v>
          </cell>
          <cell r="N56">
            <v>16351</v>
          </cell>
          <cell r="O56">
            <v>16756</v>
          </cell>
        </row>
        <row r="57">
          <cell r="D57">
            <v>2</v>
          </cell>
          <cell r="E57">
            <v>3</v>
          </cell>
          <cell r="F57">
            <v>2</v>
          </cell>
          <cell r="G57">
            <v>3</v>
          </cell>
          <cell r="H57">
            <v>2</v>
          </cell>
          <cell r="I57">
            <v>3</v>
          </cell>
          <cell r="J57">
            <v>2</v>
          </cell>
          <cell r="K57">
            <v>3</v>
          </cell>
          <cell r="L57">
            <v>2</v>
          </cell>
          <cell r="M57">
            <v>3</v>
          </cell>
          <cell r="N57">
            <v>2</v>
          </cell>
          <cell r="O57">
            <v>3</v>
          </cell>
        </row>
        <row r="58">
          <cell r="D58">
            <v>-103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346</v>
          </cell>
          <cell r="N58">
            <v>0</v>
          </cell>
          <cell r="O58">
            <v>0</v>
          </cell>
        </row>
        <row r="59">
          <cell r="D59">
            <v>-31</v>
          </cell>
          <cell r="E59">
            <v>-31</v>
          </cell>
          <cell r="F59">
            <v>-32</v>
          </cell>
          <cell r="G59">
            <v>-31</v>
          </cell>
          <cell r="H59">
            <v>-31</v>
          </cell>
          <cell r="I59">
            <v>-32</v>
          </cell>
          <cell r="J59">
            <v>-31</v>
          </cell>
          <cell r="K59">
            <v>-31</v>
          </cell>
          <cell r="L59">
            <v>-32</v>
          </cell>
          <cell r="M59">
            <v>-31</v>
          </cell>
          <cell r="N59">
            <v>-32</v>
          </cell>
          <cell r="O59">
            <v>-32</v>
          </cell>
        </row>
        <row r="60">
          <cell r="D60">
            <v>-218</v>
          </cell>
          <cell r="E60">
            <v>-218</v>
          </cell>
          <cell r="F60">
            <v>-218</v>
          </cell>
          <cell r="G60">
            <v>-217</v>
          </cell>
          <cell r="H60">
            <v>-218</v>
          </cell>
          <cell r="I60">
            <v>-218</v>
          </cell>
          <cell r="J60">
            <v>-218</v>
          </cell>
          <cell r="K60">
            <v>-217</v>
          </cell>
          <cell r="L60">
            <v>-218</v>
          </cell>
          <cell r="M60">
            <v>-218</v>
          </cell>
          <cell r="N60">
            <v>-219</v>
          </cell>
          <cell r="O60">
            <v>-219</v>
          </cell>
        </row>
        <row r="61">
          <cell r="D61">
            <v>-23</v>
          </cell>
          <cell r="E61">
            <v>23</v>
          </cell>
          <cell r="F61">
            <v>-25</v>
          </cell>
          <cell r="G61">
            <v>-72</v>
          </cell>
          <cell r="H61">
            <v>-28</v>
          </cell>
          <cell r="I61">
            <v>-27</v>
          </cell>
          <cell r="J61">
            <v>-27</v>
          </cell>
          <cell r="K61">
            <v>-27</v>
          </cell>
          <cell r="L61">
            <v>-27</v>
          </cell>
          <cell r="M61">
            <v>-27</v>
          </cell>
          <cell r="N61">
            <v>-27</v>
          </cell>
          <cell r="O61">
            <v>-27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D64">
            <v>-2</v>
          </cell>
          <cell r="E64">
            <v>-3</v>
          </cell>
          <cell r="F64">
            <v>-3</v>
          </cell>
          <cell r="G64">
            <v>-2</v>
          </cell>
          <cell r="H64">
            <v>-3</v>
          </cell>
          <cell r="I64">
            <v>-2</v>
          </cell>
          <cell r="J64">
            <v>-3</v>
          </cell>
          <cell r="K64">
            <v>-2</v>
          </cell>
          <cell r="L64">
            <v>-2</v>
          </cell>
          <cell r="M64">
            <v>0</v>
          </cell>
          <cell r="N64">
            <v>0</v>
          </cell>
          <cell r="O64">
            <v>0</v>
          </cell>
        </row>
        <row r="65">
          <cell r="D65">
            <v>9</v>
          </cell>
          <cell r="E65">
            <v>14</v>
          </cell>
          <cell r="F65">
            <v>19</v>
          </cell>
          <cell r="G65">
            <v>23</v>
          </cell>
          <cell r="H65">
            <v>20</v>
          </cell>
          <cell r="I65">
            <v>1</v>
          </cell>
          <cell r="J65">
            <v>1</v>
          </cell>
          <cell r="K65">
            <v>0</v>
          </cell>
          <cell r="L65">
            <v>1</v>
          </cell>
          <cell r="M65">
            <v>1</v>
          </cell>
          <cell r="N65">
            <v>1</v>
          </cell>
          <cell r="O65">
            <v>5</v>
          </cell>
        </row>
        <row r="66">
          <cell r="D66">
            <v>-20</v>
          </cell>
          <cell r="E66">
            <v>-20</v>
          </cell>
          <cell r="F66">
            <v>-21</v>
          </cell>
          <cell r="G66">
            <v>-20</v>
          </cell>
          <cell r="H66">
            <v>-20</v>
          </cell>
          <cell r="I66">
            <v>-20</v>
          </cell>
          <cell r="J66">
            <v>-20</v>
          </cell>
          <cell r="K66">
            <v>-17</v>
          </cell>
          <cell r="L66">
            <v>-17</v>
          </cell>
          <cell r="M66">
            <v>-11</v>
          </cell>
          <cell r="N66">
            <v>-11</v>
          </cell>
          <cell r="O66">
            <v>-12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9675</v>
          </cell>
          <cell r="N69">
            <v>0</v>
          </cell>
          <cell r="O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985</v>
          </cell>
          <cell r="N71">
            <v>0</v>
          </cell>
          <cell r="O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/>
  <dimension ref="A1:W553"/>
  <sheetViews>
    <sheetView showGridLines="0" tabSelected="1" topLeftCell="A6" workbookViewId="0">
      <pane xSplit="2" ySplit="3" topLeftCell="C9" activePane="bottomRight" state="frozen"/>
      <selection activeCell="A6" sqref="A6"/>
      <selection pane="topRight" activeCell="C6" sqref="C6"/>
      <selection pane="bottomLeft" activeCell="A9" sqref="A9"/>
      <selection pane="bottomRight" activeCell="C9" sqref="C9"/>
    </sheetView>
  </sheetViews>
  <sheetFormatPr defaultColWidth="10.7109375" defaultRowHeight="12.75"/>
  <cols>
    <col min="1" max="1" width="50.7109375" style="8" customWidth="1"/>
    <col min="2" max="2" width="3.7109375" style="8" customWidth="1"/>
    <col min="3" max="17" width="10.7109375" style="8" customWidth="1"/>
    <col min="18" max="18" width="11.7109375" style="8" customWidth="1"/>
    <col min="19" max="19" width="4.7109375" style="8" customWidth="1"/>
    <col min="20" max="16384" width="10.7109375" style="8"/>
  </cols>
  <sheetData>
    <row r="1" spans="1:18">
      <c r="A1" s="180" t="str">
        <f ca="1">CELL("FILENAME")</f>
        <v>C:\Users\Felienne\Enron\EnronSpreadsheets\[tracy_geaccone__40393__NNG3rdCECF.xls]BACKUP</v>
      </c>
      <c r="B1" s="6"/>
      <c r="C1" s="6"/>
      <c r="D1" s="6"/>
      <c r="E1" s="6"/>
      <c r="F1" s="182" t="s">
        <v>0</v>
      </c>
      <c r="G1" s="146"/>
      <c r="H1" s="147"/>
      <c r="I1" s="147"/>
      <c r="J1" s="147"/>
      <c r="K1" s="6"/>
      <c r="L1" s="6"/>
      <c r="M1" s="6"/>
      <c r="N1" s="6"/>
      <c r="O1" s="6"/>
      <c r="P1" s="6"/>
      <c r="Q1" s="6"/>
      <c r="R1" s="9">
        <f ca="1">NOW()</f>
        <v>41887.551206018521</v>
      </c>
    </row>
    <row r="2" spans="1:18">
      <c r="A2" s="5"/>
      <c r="B2" s="6"/>
      <c r="C2" s="6"/>
      <c r="D2" s="6"/>
      <c r="E2" s="6"/>
      <c r="F2" s="145" t="s">
        <v>1</v>
      </c>
      <c r="G2" s="147"/>
      <c r="H2" s="147"/>
      <c r="I2" s="147"/>
      <c r="J2" s="147"/>
      <c r="K2" s="6"/>
      <c r="L2" s="6"/>
      <c r="M2" s="6"/>
      <c r="N2" s="6"/>
      <c r="O2" s="6"/>
      <c r="P2" s="6"/>
      <c r="Q2" s="6"/>
      <c r="R2" s="10">
        <f ca="1">NOW()</f>
        <v>41887.551206018521</v>
      </c>
    </row>
    <row r="3" spans="1:18">
      <c r="A3" s="22">
        <f>[1]Source!$B$4</f>
        <v>37153.588281597222</v>
      </c>
      <c r="B3" s="6"/>
      <c r="C3" s="6"/>
      <c r="D3" s="6"/>
      <c r="E3" s="6"/>
      <c r="F3" s="177" t="s">
        <v>540</v>
      </c>
      <c r="G3" s="147"/>
      <c r="H3" s="147"/>
      <c r="I3" s="147"/>
      <c r="J3" s="147"/>
      <c r="K3" s="6"/>
      <c r="L3" s="6"/>
      <c r="M3" s="6"/>
      <c r="N3" s="6"/>
      <c r="O3" s="6"/>
      <c r="P3" s="6"/>
      <c r="Q3" s="6"/>
      <c r="R3" s="6"/>
    </row>
    <row r="4" spans="1:18">
      <c r="A4" s="23">
        <f>[1]Source!$B$5</f>
        <v>37153.588281597222</v>
      </c>
      <c r="B4" s="6"/>
      <c r="C4" s="11"/>
      <c r="D4" s="6"/>
      <c r="E4" s="6"/>
      <c r="F4" s="145" t="s">
        <v>2</v>
      </c>
      <c r="G4" s="147"/>
      <c r="H4" s="147"/>
      <c r="I4" s="147"/>
      <c r="J4" s="147"/>
      <c r="K4" s="6"/>
      <c r="L4" s="6"/>
      <c r="M4" s="6"/>
      <c r="N4" s="6"/>
      <c r="O4" s="6"/>
      <c r="P4" s="6"/>
      <c r="Q4" s="6"/>
      <c r="R4" s="6"/>
    </row>
    <row r="5" spans="1:18">
      <c r="A5" s="6"/>
      <c r="B5" s="6"/>
      <c r="C5" s="2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>
      <c r="A6" s="6"/>
      <c r="B6" s="6"/>
      <c r="C6" s="229" t="s">
        <v>3</v>
      </c>
      <c r="D6" s="24"/>
      <c r="E6" s="168"/>
      <c r="F6" s="168"/>
      <c r="G6"/>
      <c r="H6"/>
      <c r="I6" s="168"/>
      <c r="J6" s="174"/>
      <c r="K6" s="140" t="s">
        <v>634</v>
      </c>
      <c r="L6" s="139"/>
      <c r="M6" s="139"/>
      <c r="N6" s="139"/>
      <c r="O6" s="139"/>
      <c r="P6" s="6"/>
      <c r="Q6" s="6"/>
      <c r="R6" s="6"/>
    </row>
    <row r="7" spans="1:18">
      <c r="A7" s="6"/>
      <c r="B7" s="6"/>
      <c r="C7" s="140" t="s">
        <v>4</v>
      </c>
      <c r="D7" s="229" t="s">
        <v>181</v>
      </c>
      <c r="E7" s="229" t="s">
        <v>181</v>
      </c>
      <c r="F7" s="229" t="s">
        <v>181</v>
      </c>
      <c r="G7" s="229" t="s">
        <v>181</v>
      </c>
      <c r="H7" s="229" t="s">
        <v>181</v>
      </c>
      <c r="I7" s="229" t="s">
        <v>181</v>
      </c>
      <c r="J7" s="229" t="s">
        <v>181</v>
      </c>
      <c r="K7" s="229" t="s">
        <v>181</v>
      </c>
      <c r="L7" s="229" t="s">
        <v>636</v>
      </c>
      <c r="M7" s="229" t="s">
        <v>636</v>
      </c>
      <c r="N7" s="229" t="s">
        <v>636</v>
      </c>
      <c r="O7" s="229" t="s">
        <v>636</v>
      </c>
      <c r="P7" s="140" t="s">
        <v>6</v>
      </c>
      <c r="Q7" s="240" t="s">
        <v>630</v>
      </c>
      <c r="R7" s="140" t="s">
        <v>7</v>
      </c>
    </row>
    <row r="8" spans="1:18">
      <c r="A8" s="6"/>
      <c r="B8" s="6"/>
      <c r="C8" s="115" t="s">
        <v>522</v>
      </c>
      <c r="D8" s="162" t="s">
        <v>8</v>
      </c>
      <c r="E8" s="162" t="s">
        <v>9</v>
      </c>
      <c r="F8" s="162" t="s">
        <v>10</v>
      </c>
      <c r="G8" s="162" t="s">
        <v>11</v>
      </c>
      <c r="H8" s="162" t="s">
        <v>12</v>
      </c>
      <c r="I8" s="162" t="s">
        <v>13</v>
      </c>
      <c r="J8" s="162" t="s">
        <v>14</v>
      </c>
      <c r="K8" s="162" t="s">
        <v>15</v>
      </c>
      <c r="L8" s="162" t="s">
        <v>16</v>
      </c>
      <c r="M8" s="162" t="s">
        <v>17</v>
      </c>
      <c r="N8" s="162" t="s">
        <v>18</v>
      </c>
      <c r="O8" s="162" t="s">
        <v>19</v>
      </c>
      <c r="P8" s="115">
        <v>2001</v>
      </c>
      <c r="Q8" s="162" t="s">
        <v>20</v>
      </c>
      <c r="R8" s="162" t="s">
        <v>21</v>
      </c>
    </row>
    <row r="9" spans="1:18" ht="6" customHeight="1"/>
    <row r="10" spans="1:18">
      <c r="A10" s="26" t="s">
        <v>574</v>
      </c>
      <c r="C10" s="14"/>
      <c r="D10" s="14">
        <f t="shared" ref="D10:O10" si="0">C13</f>
        <v>53</v>
      </c>
      <c r="E10" s="14">
        <f t="shared" si="0"/>
        <v>53</v>
      </c>
      <c r="F10" s="14">
        <f t="shared" si="0"/>
        <v>53</v>
      </c>
      <c r="G10" s="14">
        <f t="shared" si="0"/>
        <v>53</v>
      </c>
      <c r="H10" s="14">
        <f t="shared" si="0"/>
        <v>53</v>
      </c>
      <c r="I10" s="14">
        <f t="shared" si="0"/>
        <v>53</v>
      </c>
      <c r="J10" s="14">
        <f t="shared" si="0"/>
        <v>53</v>
      </c>
      <c r="K10" s="14">
        <f t="shared" si="0"/>
        <v>53</v>
      </c>
      <c r="L10" s="14">
        <f t="shared" si="0"/>
        <v>53</v>
      </c>
      <c r="M10" s="14">
        <f t="shared" si="0"/>
        <v>53</v>
      </c>
      <c r="N10" s="14">
        <f t="shared" si="0"/>
        <v>53</v>
      </c>
      <c r="O10" s="14">
        <f t="shared" si="0"/>
        <v>53</v>
      </c>
      <c r="P10" s="14"/>
      <c r="Q10" s="14"/>
      <c r="R10" s="14"/>
    </row>
    <row r="11" spans="1:18">
      <c r="A11" s="27" t="s">
        <v>22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16">
        <f>SUM(D11:O11)</f>
        <v>0</v>
      </c>
      <c r="Q11" s="25">
        <f>SUM(D11:J11)</f>
        <v>0</v>
      </c>
      <c r="R11" s="16">
        <f>P11-Q11</f>
        <v>0</v>
      </c>
    </row>
    <row r="12" spans="1:18" ht="3.95" customHeight="1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8">
      <c r="A13" s="26" t="s">
        <v>575</v>
      </c>
      <c r="C13" s="17">
        <v>53</v>
      </c>
      <c r="D13" s="14">
        <f t="shared" ref="D13:O13" si="1">D10+D11</f>
        <v>53</v>
      </c>
      <c r="E13" s="14">
        <f t="shared" si="1"/>
        <v>53</v>
      </c>
      <c r="F13" s="14">
        <f t="shared" si="1"/>
        <v>53</v>
      </c>
      <c r="G13" s="14">
        <f t="shared" si="1"/>
        <v>53</v>
      </c>
      <c r="H13" s="14">
        <f t="shared" si="1"/>
        <v>53</v>
      </c>
      <c r="I13" s="14">
        <f t="shared" si="1"/>
        <v>53</v>
      </c>
      <c r="J13" s="14">
        <f t="shared" si="1"/>
        <v>53</v>
      </c>
      <c r="K13" s="14">
        <f t="shared" si="1"/>
        <v>53</v>
      </c>
      <c r="L13" s="14">
        <f t="shared" si="1"/>
        <v>53</v>
      </c>
      <c r="M13" s="14">
        <f t="shared" si="1"/>
        <v>53</v>
      </c>
      <c r="N13" s="14">
        <f t="shared" si="1"/>
        <v>53</v>
      </c>
      <c r="O13" s="14">
        <f t="shared" si="1"/>
        <v>53</v>
      </c>
      <c r="P13" s="14"/>
      <c r="Q13" s="14"/>
      <c r="R13" s="14"/>
    </row>
    <row r="14" spans="1:18" ht="3.95" customHeight="1"/>
    <row r="15" spans="1:18">
      <c r="A15" s="27" t="s">
        <v>23</v>
      </c>
      <c r="C15" s="14"/>
      <c r="D15" s="14">
        <f t="shared" ref="D15:O15" si="2">D13-C13</f>
        <v>0</v>
      </c>
      <c r="E15" s="14">
        <f t="shared" si="2"/>
        <v>0</v>
      </c>
      <c r="F15" s="14">
        <f t="shared" si="2"/>
        <v>0</v>
      </c>
      <c r="G15" s="14">
        <f t="shared" si="2"/>
        <v>0</v>
      </c>
      <c r="H15" s="14">
        <f t="shared" si="2"/>
        <v>0</v>
      </c>
      <c r="I15" s="14">
        <f t="shared" si="2"/>
        <v>0</v>
      </c>
      <c r="J15" s="14">
        <f t="shared" si="2"/>
        <v>0</v>
      </c>
      <c r="K15" s="14">
        <f t="shared" si="2"/>
        <v>0</v>
      </c>
      <c r="L15" s="14">
        <f t="shared" si="2"/>
        <v>0</v>
      </c>
      <c r="M15" s="14">
        <f t="shared" si="2"/>
        <v>0</v>
      </c>
      <c r="N15" s="14">
        <f t="shared" si="2"/>
        <v>0</v>
      </c>
      <c r="O15" s="14">
        <f t="shared" si="2"/>
        <v>0</v>
      </c>
      <c r="P15" s="14">
        <f>SUM(D15:O15)</f>
        <v>0</v>
      </c>
      <c r="Q15" s="14">
        <f>Q11</f>
        <v>0</v>
      </c>
      <c r="R15" s="14">
        <f>P15-Q15</f>
        <v>0</v>
      </c>
    </row>
    <row r="17" spans="1:18">
      <c r="A17" s="26" t="s">
        <v>24</v>
      </c>
      <c r="C17" s="17">
        <v>71185</v>
      </c>
      <c r="D17" s="14">
        <f t="shared" ref="D17:O17" si="3">C33</f>
        <v>40542</v>
      </c>
      <c r="E17" s="14">
        <f t="shared" si="3"/>
        <v>44439</v>
      </c>
      <c r="F17" s="14">
        <f t="shared" si="3"/>
        <v>41453</v>
      </c>
      <c r="G17" s="14">
        <f t="shared" si="3"/>
        <v>57404</v>
      </c>
      <c r="H17" s="14">
        <f t="shared" si="3"/>
        <v>40956</v>
      </c>
      <c r="I17" s="14">
        <f t="shared" si="3"/>
        <v>30453</v>
      </c>
      <c r="J17" s="14">
        <f t="shared" si="3"/>
        <v>36741</v>
      </c>
      <c r="K17" s="14">
        <f t="shared" si="3"/>
        <v>29898</v>
      </c>
      <c r="L17" s="14">
        <f t="shared" si="3"/>
        <v>29869</v>
      </c>
      <c r="M17" s="14">
        <f t="shared" si="3"/>
        <v>28120</v>
      </c>
      <c r="N17" s="14">
        <f t="shared" si="3"/>
        <v>27501</v>
      </c>
      <c r="O17" s="14">
        <f t="shared" si="3"/>
        <v>56488</v>
      </c>
      <c r="P17" s="14"/>
    </row>
    <row r="18" spans="1:18">
      <c r="A18" s="27" t="s">
        <v>25</v>
      </c>
      <c r="C18" s="175">
        <f>-53768-12000</f>
        <v>-65768</v>
      </c>
      <c r="D18" s="14">
        <f t="shared" ref="D18:O18" si="4">-C27</f>
        <v>-55235</v>
      </c>
      <c r="E18" s="14">
        <f t="shared" si="4"/>
        <v>-60168</v>
      </c>
      <c r="F18" s="14">
        <f t="shared" si="4"/>
        <v>-58455</v>
      </c>
      <c r="G18" s="14">
        <f t="shared" si="4"/>
        <v>-58056</v>
      </c>
      <c r="H18" s="14">
        <f t="shared" si="4"/>
        <v>-39336</v>
      </c>
      <c r="I18" s="14">
        <f t="shared" si="4"/>
        <v>-33893</v>
      </c>
      <c r="J18" s="14">
        <f t="shared" si="4"/>
        <v>-33579</v>
      </c>
      <c r="K18" s="14">
        <f t="shared" si="4"/>
        <v>-26809</v>
      </c>
      <c r="L18" s="14">
        <f t="shared" si="4"/>
        <v>-26780</v>
      </c>
      <c r="M18" s="14">
        <f t="shared" si="4"/>
        <v>-25031</v>
      </c>
      <c r="N18" s="14">
        <f t="shared" si="4"/>
        <v>-24412</v>
      </c>
      <c r="O18" s="14">
        <f t="shared" si="4"/>
        <v>-53399</v>
      </c>
      <c r="P18" s="14">
        <f>SUM(D18:O18)</f>
        <v>-495153</v>
      </c>
      <c r="Q18" s="14"/>
      <c r="R18" s="14"/>
    </row>
    <row r="19" spans="1:18" ht="8.1" customHeight="1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8">
      <c r="A20" s="27" t="s">
        <v>523</v>
      </c>
      <c r="B20" s="18" t="s">
        <v>26</v>
      </c>
      <c r="C20" s="17">
        <v>0</v>
      </c>
      <c r="D20" s="14">
        <f>[1]Source!D9</f>
        <v>938</v>
      </c>
      <c r="E20" s="14">
        <f>[1]Source!E9</f>
        <v>1057</v>
      </c>
      <c r="F20" s="14">
        <f>[1]Source!F9</f>
        <v>640</v>
      </c>
      <c r="G20" s="14">
        <f>[1]Source!G9</f>
        <v>13700</v>
      </c>
      <c r="H20" s="14">
        <f>[1]Source!H9</f>
        <v>9784</v>
      </c>
      <c r="I20" s="14">
        <f>[1]Source!I9</f>
        <v>6168</v>
      </c>
      <c r="J20" s="14">
        <f>[1]Source!J9</f>
        <v>664</v>
      </c>
      <c r="K20" s="14">
        <f>[1]Source!K9</f>
        <v>332</v>
      </c>
      <c r="L20" s="14">
        <f>[1]Source!L9</f>
        <v>0</v>
      </c>
      <c r="M20" s="14">
        <f>[1]Source!M9</f>
        <v>0</v>
      </c>
      <c r="N20" s="14">
        <f>[1]Source!N9</f>
        <v>0</v>
      </c>
      <c r="O20" s="14">
        <f>[1]Source!O9</f>
        <v>0</v>
      </c>
      <c r="P20" s="14">
        <f t="shared" ref="P20:P25" si="5">SUM(D20:O20)</f>
        <v>33283</v>
      </c>
      <c r="Q20" s="17">
        <f t="shared" ref="Q20:Q25" si="6">SUM(D20:J20)</f>
        <v>32951</v>
      </c>
      <c r="R20" s="14">
        <f t="shared" ref="R20:R25" si="7">P20-Q20</f>
        <v>332</v>
      </c>
    </row>
    <row r="21" spans="1:18">
      <c r="A21" s="27" t="s">
        <v>27</v>
      </c>
      <c r="B21" s="18" t="s">
        <v>26</v>
      </c>
      <c r="C21" s="17">
        <v>55324</v>
      </c>
      <c r="D21" s="14">
        <f>[1]Source!D10</f>
        <v>58990</v>
      </c>
      <c r="E21" s="14">
        <f>[1]Source!E10</f>
        <v>56794</v>
      </c>
      <c r="F21" s="14">
        <f>[1]Source!F10</f>
        <v>56760</v>
      </c>
      <c r="G21" s="14">
        <f>[1]Source!G10</f>
        <v>25253</v>
      </c>
      <c r="H21" s="14">
        <f>[1]Source!H10</f>
        <v>23451</v>
      </c>
      <c r="I21" s="14">
        <f>[1]Source!I10</f>
        <v>27237</v>
      </c>
      <c r="J21" s="14">
        <f>[1]Source!J10</f>
        <v>25968</v>
      </c>
      <c r="K21" s="14">
        <f>[1]Source!K10</f>
        <v>26056</v>
      </c>
      <c r="L21" s="14">
        <f>[1]Source!L10</f>
        <v>24700</v>
      </c>
      <c r="M21" s="14">
        <f>[1]Source!M10</f>
        <v>24081</v>
      </c>
      <c r="N21" s="14">
        <f>[1]Source!N10</f>
        <v>52968</v>
      </c>
      <c r="O21" s="14">
        <f>[1]Source!O10</f>
        <v>54016</v>
      </c>
      <c r="P21" s="14">
        <f t="shared" si="5"/>
        <v>456274</v>
      </c>
      <c r="Q21" s="17">
        <f t="shared" si="6"/>
        <v>274453</v>
      </c>
      <c r="R21" s="14">
        <f t="shared" si="7"/>
        <v>181821</v>
      </c>
    </row>
    <row r="22" spans="1:18">
      <c r="A22" s="27" t="s">
        <v>28</v>
      </c>
      <c r="B22" s="18" t="s">
        <v>26</v>
      </c>
      <c r="C22" s="17">
        <v>0</v>
      </c>
      <c r="D22" s="14">
        <f>[1]Source!D11</f>
        <v>0</v>
      </c>
      <c r="E22" s="14">
        <f>[1]Source!E11</f>
        <v>0</v>
      </c>
      <c r="F22" s="14">
        <f>[1]Source!F11</f>
        <v>0</v>
      </c>
      <c r="G22" s="14">
        <f>[1]Source!G11</f>
        <v>0</v>
      </c>
      <c r="H22" s="14">
        <f>[1]Source!H11</f>
        <v>0</v>
      </c>
      <c r="I22" s="14">
        <f>[1]Source!I11</f>
        <v>0</v>
      </c>
      <c r="J22" s="14">
        <f>[1]Source!J11</f>
        <v>0</v>
      </c>
      <c r="K22" s="14">
        <f>[1]Source!K11</f>
        <v>0</v>
      </c>
      <c r="L22" s="14">
        <f>[1]Source!L11</f>
        <v>0</v>
      </c>
      <c r="M22" s="14">
        <f>[1]Source!M11</f>
        <v>0</v>
      </c>
      <c r="N22" s="14">
        <f>[1]Source!N11</f>
        <v>0</v>
      </c>
      <c r="O22" s="14">
        <f>[1]Source!O11</f>
        <v>0</v>
      </c>
      <c r="P22" s="14">
        <f t="shared" si="5"/>
        <v>0</v>
      </c>
      <c r="Q22" s="17">
        <f t="shared" si="6"/>
        <v>0</v>
      </c>
      <c r="R22" s="14">
        <f t="shared" si="7"/>
        <v>0</v>
      </c>
    </row>
    <row r="23" spans="1:18">
      <c r="A23" s="27" t="s">
        <v>29</v>
      </c>
      <c r="B23" s="18" t="s">
        <v>26</v>
      </c>
      <c r="C23" s="17">
        <v>-89</v>
      </c>
      <c r="D23" s="14">
        <f>[1]Source!D12</f>
        <v>240</v>
      </c>
      <c r="E23" s="14">
        <f>[1]Source!E12</f>
        <v>604</v>
      </c>
      <c r="F23" s="14">
        <f>[1]Source!F12</f>
        <v>656</v>
      </c>
      <c r="G23" s="14">
        <f>[1]Source!G12</f>
        <v>383</v>
      </c>
      <c r="H23" s="14">
        <f>[1]Source!H12</f>
        <v>658</v>
      </c>
      <c r="I23" s="14">
        <f>[1]Source!I12</f>
        <v>174</v>
      </c>
      <c r="J23" s="14">
        <f>[1]Source!J12</f>
        <v>177</v>
      </c>
      <c r="K23" s="14">
        <f>[1]Source!K12</f>
        <v>392</v>
      </c>
      <c r="L23" s="14">
        <f>[1]Source!L12</f>
        <v>331</v>
      </c>
      <c r="M23" s="14">
        <f>[1]Source!M12</f>
        <v>331</v>
      </c>
      <c r="N23" s="14">
        <f>[1]Source!N12</f>
        <v>431</v>
      </c>
      <c r="O23" s="14">
        <f>[1]Source!O12</f>
        <v>581</v>
      </c>
      <c r="P23" s="14">
        <f t="shared" si="5"/>
        <v>4958</v>
      </c>
      <c r="Q23" s="17">
        <f t="shared" si="6"/>
        <v>2892</v>
      </c>
      <c r="R23" s="14">
        <f t="shared" si="7"/>
        <v>2066</v>
      </c>
    </row>
    <row r="24" spans="1:18">
      <c r="A24" s="27" t="s">
        <v>30</v>
      </c>
      <c r="B24" s="18" t="s">
        <v>26</v>
      </c>
      <c r="C24" s="17">
        <v>0</v>
      </c>
      <c r="D24" s="28">
        <f>[1]Source!D8</f>
        <v>0</v>
      </c>
      <c r="E24" s="28">
        <f>[1]Source!E8</f>
        <v>0</v>
      </c>
      <c r="F24" s="14">
        <f>[1]Source!F8</f>
        <v>0</v>
      </c>
      <c r="G24" s="14">
        <f>[1]Source!G8</f>
        <v>0</v>
      </c>
      <c r="H24" s="14">
        <f>[1]Source!H8</f>
        <v>0</v>
      </c>
      <c r="I24" s="14">
        <f>[1]Source!I8</f>
        <v>0</v>
      </c>
      <c r="J24" s="14">
        <f>[1]Source!J8</f>
        <v>0</v>
      </c>
      <c r="K24" s="14">
        <f>[1]Source!K8</f>
        <v>0</v>
      </c>
      <c r="L24" s="14">
        <f>[1]Source!L8</f>
        <v>0</v>
      </c>
      <c r="M24" s="14">
        <f>[1]Source!M8</f>
        <v>0</v>
      </c>
      <c r="N24" s="14">
        <f>[1]Source!N8</f>
        <v>0</v>
      </c>
      <c r="O24" s="14">
        <f>[1]Source!O8</f>
        <v>0</v>
      </c>
      <c r="P24" s="14">
        <f t="shared" si="5"/>
        <v>0</v>
      </c>
      <c r="Q24" s="17">
        <f t="shared" si="6"/>
        <v>0</v>
      </c>
      <c r="R24" s="14">
        <f t="shared" si="7"/>
        <v>0</v>
      </c>
    </row>
    <row r="25" spans="1:18">
      <c r="A25" s="27" t="s">
        <v>22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16">
        <f t="shared" si="5"/>
        <v>0</v>
      </c>
      <c r="Q25" s="25">
        <f t="shared" si="6"/>
        <v>0</v>
      </c>
      <c r="R25" s="16">
        <f t="shared" si="7"/>
        <v>0</v>
      </c>
    </row>
    <row r="26" spans="1:18" ht="3.95" customHeight="1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>
      <c r="A27" s="27" t="s">
        <v>31</v>
      </c>
      <c r="C27" s="14">
        <f t="shared" ref="C27:Q27" si="8">SUM(C20:C26)</f>
        <v>55235</v>
      </c>
      <c r="D27" s="14">
        <f t="shared" si="8"/>
        <v>60168</v>
      </c>
      <c r="E27" s="14">
        <f t="shared" si="8"/>
        <v>58455</v>
      </c>
      <c r="F27" s="14">
        <f t="shared" si="8"/>
        <v>58056</v>
      </c>
      <c r="G27" s="14">
        <f t="shared" si="8"/>
        <v>39336</v>
      </c>
      <c r="H27" s="14">
        <f t="shared" si="8"/>
        <v>33893</v>
      </c>
      <c r="I27" s="14">
        <f t="shared" si="8"/>
        <v>33579</v>
      </c>
      <c r="J27" s="14">
        <f t="shared" si="8"/>
        <v>26809</v>
      </c>
      <c r="K27" s="14">
        <f t="shared" si="8"/>
        <v>26780</v>
      </c>
      <c r="L27" s="14">
        <f t="shared" si="8"/>
        <v>25031</v>
      </c>
      <c r="M27" s="14">
        <f t="shared" si="8"/>
        <v>24412</v>
      </c>
      <c r="N27" s="14">
        <f t="shared" si="8"/>
        <v>53399</v>
      </c>
      <c r="O27" s="14">
        <f t="shared" si="8"/>
        <v>54597</v>
      </c>
      <c r="P27" s="14">
        <f t="shared" si="8"/>
        <v>494515</v>
      </c>
      <c r="Q27" s="14">
        <f t="shared" si="8"/>
        <v>310296</v>
      </c>
      <c r="R27" s="14">
        <f>P27-Q27</f>
        <v>184219</v>
      </c>
    </row>
    <row r="28" spans="1:18" ht="6" customHeight="1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>
      <c r="A29" s="27" t="s">
        <v>602</v>
      </c>
      <c r="C29" s="17">
        <v>-14594</v>
      </c>
      <c r="D29" s="17">
        <v>0</v>
      </c>
      <c r="E29" s="17">
        <v>0</v>
      </c>
      <c r="F29" s="17">
        <v>14594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4">
        <f>SUM(D29:O29)</f>
        <v>14594</v>
      </c>
      <c r="Q29" s="17">
        <f>SUM(D29:J29)</f>
        <v>14594</v>
      </c>
      <c r="R29" s="14">
        <f>P29-Q29</f>
        <v>0</v>
      </c>
    </row>
    <row r="30" spans="1:18">
      <c r="A30" s="27" t="s">
        <v>32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4">
        <f>SUM(D30:O30)</f>
        <v>0</v>
      </c>
      <c r="Q30" s="17">
        <f>SUM(D30:J30)</f>
        <v>0</v>
      </c>
      <c r="R30" s="14">
        <f>P30-Q30</f>
        <v>0</v>
      </c>
    </row>
    <row r="31" spans="1:18">
      <c r="A31" s="27" t="s">
        <v>32</v>
      </c>
      <c r="C31" s="25">
        <v>-5516</v>
      </c>
      <c r="D31" s="25">
        <v>-1036</v>
      </c>
      <c r="E31" s="25">
        <v>-1273</v>
      </c>
      <c r="F31" s="25">
        <v>1756</v>
      </c>
      <c r="G31" s="25">
        <v>2272</v>
      </c>
      <c r="H31" s="25">
        <v>-5060</v>
      </c>
      <c r="I31" s="25">
        <v>6602</v>
      </c>
      <c r="J31" s="25">
        <v>-73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16">
        <f>SUM(D31:O31)</f>
        <v>3188</v>
      </c>
      <c r="Q31" s="25">
        <f>SUM(D31:J31)</f>
        <v>3188</v>
      </c>
      <c r="R31" s="16">
        <f>P31-Q31</f>
        <v>0</v>
      </c>
    </row>
    <row r="32" spans="1:18" ht="3.95" customHeight="1"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>
      <c r="A33" s="26" t="s">
        <v>33</v>
      </c>
      <c r="C33" s="14">
        <f t="shared" ref="C33:O33" si="9">C17+C18+C27+SUM(C29:C31)</f>
        <v>40542</v>
      </c>
      <c r="D33" s="14">
        <f t="shared" si="9"/>
        <v>44439</v>
      </c>
      <c r="E33" s="14">
        <f t="shared" si="9"/>
        <v>41453</v>
      </c>
      <c r="F33" s="14">
        <f t="shared" si="9"/>
        <v>57404</v>
      </c>
      <c r="G33" s="14">
        <f t="shared" si="9"/>
        <v>40956</v>
      </c>
      <c r="H33" s="14">
        <f t="shared" si="9"/>
        <v>30453</v>
      </c>
      <c r="I33" s="14">
        <f t="shared" si="9"/>
        <v>36741</v>
      </c>
      <c r="J33" s="14">
        <f t="shared" si="9"/>
        <v>29898</v>
      </c>
      <c r="K33" s="14">
        <f t="shared" si="9"/>
        <v>29869</v>
      </c>
      <c r="L33" s="14">
        <f t="shared" si="9"/>
        <v>28120</v>
      </c>
      <c r="M33" s="14">
        <f t="shared" si="9"/>
        <v>27501</v>
      </c>
      <c r="N33" s="14">
        <f t="shared" si="9"/>
        <v>56488</v>
      </c>
      <c r="O33" s="14">
        <f t="shared" si="9"/>
        <v>57686</v>
      </c>
      <c r="P33" s="14"/>
    </row>
    <row r="34" spans="1:18" ht="3.95" customHeight="1"/>
    <row r="35" spans="1:18">
      <c r="A35" s="27" t="s">
        <v>23</v>
      </c>
      <c r="D35" s="14">
        <f t="shared" ref="D35:O35" si="10">D33-C33</f>
        <v>3897</v>
      </c>
      <c r="E35" s="14">
        <f t="shared" si="10"/>
        <v>-2986</v>
      </c>
      <c r="F35" s="14">
        <f t="shared" si="10"/>
        <v>15951</v>
      </c>
      <c r="G35" s="14">
        <f t="shared" si="10"/>
        <v>-16448</v>
      </c>
      <c r="H35" s="14">
        <f t="shared" si="10"/>
        <v>-10503</v>
      </c>
      <c r="I35" s="14">
        <f t="shared" si="10"/>
        <v>6288</v>
      </c>
      <c r="J35" s="14">
        <f t="shared" si="10"/>
        <v>-6843</v>
      </c>
      <c r="K35" s="14">
        <f t="shared" si="10"/>
        <v>-29</v>
      </c>
      <c r="L35" s="14">
        <f t="shared" si="10"/>
        <v>-1749</v>
      </c>
      <c r="M35" s="14">
        <f t="shared" si="10"/>
        <v>-619</v>
      </c>
      <c r="N35" s="14">
        <f t="shared" si="10"/>
        <v>28987</v>
      </c>
      <c r="O35" s="14">
        <f t="shared" si="10"/>
        <v>1198</v>
      </c>
      <c r="P35" s="14">
        <f>SUM(D35:O35)</f>
        <v>17144</v>
      </c>
      <c r="Q35" s="17">
        <f>SUM(D35:J35)</f>
        <v>-10644</v>
      </c>
      <c r="R35" s="14">
        <f>P35-Q35</f>
        <v>27788</v>
      </c>
    </row>
    <row r="37" spans="1:18">
      <c r="A37" s="26" t="s">
        <v>613</v>
      </c>
      <c r="C37" s="14"/>
      <c r="D37" s="14">
        <f t="shared" ref="D37:O37" si="11">C41</f>
        <v>0</v>
      </c>
      <c r="E37" s="14">
        <f t="shared" si="11"/>
        <v>0</v>
      </c>
      <c r="F37" s="14">
        <f t="shared" si="11"/>
        <v>0</v>
      </c>
      <c r="G37" s="14">
        <f t="shared" si="11"/>
        <v>0</v>
      </c>
      <c r="H37" s="14">
        <f t="shared" si="11"/>
        <v>32</v>
      </c>
      <c r="I37" s="14">
        <f t="shared" si="11"/>
        <v>32</v>
      </c>
      <c r="J37" s="14">
        <f t="shared" si="11"/>
        <v>3102</v>
      </c>
      <c r="K37" s="14">
        <f t="shared" si="11"/>
        <v>7082</v>
      </c>
      <c r="L37" s="14">
        <f t="shared" si="11"/>
        <v>7082</v>
      </c>
      <c r="M37" s="14">
        <f t="shared" si="11"/>
        <v>7082</v>
      </c>
      <c r="N37" s="14">
        <f t="shared" si="11"/>
        <v>7082</v>
      </c>
      <c r="O37" s="14">
        <f t="shared" si="11"/>
        <v>7082</v>
      </c>
      <c r="P37" s="14"/>
      <c r="Q37" s="14"/>
    </row>
    <row r="38" spans="1:18">
      <c r="A38" s="27" t="s">
        <v>615</v>
      </c>
      <c r="C38" s="17"/>
      <c r="D38" s="17">
        <v>0</v>
      </c>
      <c r="E38" s="17">
        <v>0</v>
      </c>
      <c r="F38" s="17">
        <v>0</v>
      </c>
      <c r="G38" s="17">
        <v>32</v>
      </c>
      <c r="H38" s="17">
        <v>0</v>
      </c>
      <c r="I38" s="17">
        <v>3070</v>
      </c>
      <c r="J38" s="17">
        <v>3980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4">
        <f>SUM(D38:O38)</f>
        <v>7082</v>
      </c>
      <c r="Q38" s="17">
        <f>SUM(D38:J38)</f>
        <v>7082</v>
      </c>
      <c r="R38" s="14">
        <f>P38-Q38</f>
        <v>0</v>
      </c>
    </row>
    <row r="39" spans="1:18">
      <c r="A39" s="27" t="s">
        <v>22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16">
        <f>SUM(D39:O39)</f>
        <v>0</v>
      </c>
      <c r="Q39" s="25">
        <f>SUM(D39:J39)</f>
        <v>0</v>
      </c>
      <c r="R39" s="16">
        <f>P39-Q39</f>
        <v>0</v>
      </c>
    </row>
    <row r="40" spans="1:18" ht="3.95" customHeight="1"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>
      <c r="A41" s="26" t="s">
        <v>614</v>
      </c>
      <c r="C41" s="17">
        <v>0</v>
      </c>
      <c r="D41" s="14">
        <f t="shared" ref="D41:O41" si="12">SUM(D37:D40)</f>
        <v>0</v>
      </c>
      <c r="E41" s="14">
        <f t="shared" si="12"/>
        <v>0</v>
      </c>
      <c r="F41" s="14">
        <f t="shared" si="12"/>
        <v>0</v>
      </c>
      <c r="G41" s="14">
        <f t="shared" si="12"/>
        <v>32</v>
      </c>
      <c r="H41" s="14">
        <f t="shared" si="12"/>
        <v>32</v>
      </c>
      <c r="I41" s="14">
        <f t="shared" si="12"/>
        <v>3102</v>
      </c>
      <c r="J41" s="14">
        <f t="shared" si="12"/>
        <v>7082</v>
      </c>
      <c r="K41" s="14">
        <f t="shared" si="12"/>
        <v>7082</v>
      </c>
      <c r="L41" s="14">
        <f t="shared" si="12"/>
        <v>7082</v>
      </c>
      <c r="M41" s="14">
        <f t="shared" si="12"/>
        <v>7082</v>
      </c>
      <c r="N41" s="14">
        <f t="shared" si="12"/>
        <v>7082</v>
      </c>
      <c r="O41" s="14">
        <f t="shared" si="12"/>
        <v>7082</v>
      </c>
      <c r="P41" s="14"/>
      <c r="Q41" s="14"/>
    </row>
    <row r="42" spans="1:18" ht="3.95" customHeight="1"/>
    <row r="43" spans="1:18">
      <c r="A43" s="27" t="s">
        <v>23</v>
      </c>
      <c r="C43" s="14"/>
      <c r="D43" s="14">
        <f t="shared" ref="D43:O43" si="13">D41-C41</f>
        <v>0</v>
      </c>
      <c r="E43" s="14">
        <f t="shared" si="13"/>
        <v>0</v>
      </c>
      <c r="F43" s="14">
        <f t="shared" si="13"/>
        <v>0</v>
      </c>
      <c r="G43" s="14">
        <f t="shared" si="13"/>
        <v>32</v>
      </c>
      <c r="H43" s="14">
        <f t="shared" si="13"/>
        <v>0</v>
      </c>
      <c r="I43" s="14">
        <f t="shared" si="13"/>
        <v>3070</v>
      </c>
      <c r="J43" s="14">
        <f t="shared" si="13"/>
        <v>3980</v>
      </c>
      <c r="K43" s="14">
        <f t="shared" si="13"/>
        <v>0</v>
      </c>
      <c r="L43" s="14">
        <f t="shared" si="13"/>
        <v>0</v>
      </c>
      <c r="M43" s="14">
        <f t="shared" si="13"/>
        <v>0</v>
      </c>
      <c r="N43" s="14">
        <f t="shared" si="13"/>
        <v>0</v>
      </c>
      <c r="O43" s="14">
        <f t="shared" si="13"/>
        <v>0</v>
      </c>
      <c r="P43" s="14">
        <f>SUM(D43:O43)</f>
        <v>7082</v>
      </c>
      <c r="Q43" s="14">
        <f>SUM(Q38:Q40)</f>
        <v>7082</v>
      </c>
      <c r="R43" s="14">
        <f>P43-Q43</f>
        <v>0</v>
      </c>
    </row>
    <row r="45" spans="1:18">
      <c r="A45" s="26" t="s">
        <v>34</v>
      </c>
      <c r="C45" s="14"/>
      <c r="D45" s="14">
        <f t="shared" ref="D45:O45" si="14">C49</f>
        <v>0</v>
      </c>
      <c r="E45" s="14">
        <f t="shared" si="14"/>
        <v>0</v>
      </c>
      <c r="F45" s="14">
        <f t="shared" si="14"/>
        <v>0</v>
      </c>
      <c r="G45" s="14">
        <f t="shared" si="14"/>
        <v>0</v>
      </c>
      <c r="H45" s="14">
        <f t="shared" si="14"/>
        <v>0</v>
      </c>
      <c r="I45" s="14">
        <f t="shared" si="14"/>
        <v>0</v>
      </c>
      <c r="J45" s="14">
        <f t="shared" si="14"/>
        <v>0</v>
      </c>
      <c r="K45" s="14">
        <f t="shared" si="14"/>
        <v>0</v>
      </c>
      <c r="L45" s="14">
        <f t="shared" si="14"/>
        <v>0</v>
      </c>
      <c r="M45" s="14">
        <f t="shared" si="14"/>
        <v>0</v>
      </c>
      <c r="N45" s="14">
        <f t="shared" si="14"/>
        <v>0</v>
      </c>
      <c r="O45" s="14">
        <f t="shared" si="14"/>
        <v>0</v>
      </c>
      <c r="P45" s="14"/>
      <c r="Q45" s="14"/>
    </row>
    <row r="46" spans="1:18">
      <c r="A46" s="27" t="s">
        <v>35</v>
      </c>
      <c r="C46" s="17"/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4">
        <f>SUM(D46:O46)</f>
        <v>0</v>
      </c>
      <c r="Q46" s="17">
        <f>SUM(D46:J46)</f>
        <v>0</v>
      </c>
      <c r="R46" s="14">
        <f>P46-Q46</f>
        <v>0</v>
      </c>
    </row>
    <row r="47" spans="1:18">
      <c r="A47" s="27" t="s">
        <v>22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16">
        <f>SUM(D47:O47)</f>
        <v>0</v>
      </c>
      <c r="Q47" s="25">
        <f>SUM(D47:J47)</f>
        <v>0</v>
      </c>
      <c r="R47" s="16">
        <f>P47-Q47</f>
        <v>0</v>
      </c>
    </row>
    <row r="48" spans="1:18" ht="3.95" customHeight="1"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>
      <c r="A49" s="26" t="s">
        <v>36</v>
      </c>
      <c r="C49" s="17">
        <v>0</v>
      </c>
      <c r="D49" s="14">
        <f t="shared" ref="D49:O49" si="15">SUM(D45:D48)</f>
        <v>0</v>
      </c>
      <c r="E49" s="14">
        <f t="shared" si="15"/>
        <v>0</v>
      </c>
      <c r="F49" s="14">
        <f t="shared" si="15"/>
        <v>0</v>
      </c>
      <c r="G49" s="14">
        <f t="shared" si="15"/>
        <v>0</v>
      </c>
      <c r="H49" s="14">
        <f t="shared" si="15"/>
        <v>0</v>
      </c>
      <c r="I49" s="14">
        <f t="shared" si="15"/>
        <v>0</v>
      </c>
      <c r="J49" s="14">
        <f t="shared" si="15"/>
        <v>0</v>
      </c>
      <c r="K49" s="14">
        <f t="shared" si="15"/>
        <v>0</v>
      </c>
      <c r="L49" s="14">
        <f t="shared" si="15"/>
        <v>0</v>
      </c>
      <c r="M49" s="14">
        <f t="shared" si="15"/>
        <v>0</v>
      </c>
      <c r="N49" s="14">
        <f t="shared" si="15"/>
        <v>0</v>
      </c>
      <c r="O49" s="14">
        <f t="shared" si="15"/>
        <v>0</v>
      </c>
      <c r="P49" s="14"/>
      <c r="Q49" s="14"/>
    </row>
    <row r="50" spans="1:18" ht="3.95" customHeight="1"/>
    <row r="51" spans="1:18">
      <c r="A51" s="27" t="s">
        <v>23</v>
      </c>
      <c r="C51" s="14"/>
      <c r="D51" s="14">
        <f t="shared" ref="D51:O51" si="16">D49-C49</f>
        <v>0</v>
      </c>
      <c r="E51" s="14">
        <f t="shared" si="16"/>
        <v>0</v>
      </c>
      <c r="F51" s="14">
        <f t="shared" si="16"/>
        <v>0</v>
      </c>
      <c r="G51" s="14">
        <f t="shared" si="16"/>
        <v>0</v>
      </c>
      <c r="H51" s="14">
        <f t="shared" si="16"/>
        <v>0</v>
      </c>
      <c r="I51" s="14">
        <f t="shared" si="16"/>
        <v>0</v>
      </c>
      <c r="J51" s="14">
        <f t="shared" si="16"/>
        <v>0</v>
      </c>
      <c r="K51" s="14">
        <f t="shared" si="16"/>
        <v>0</v>
      </c>
      <c r="L51" s="14">
        <f t="shared" si="16"/>
        <v>0</v>
      </c>
      <c r="M51" s="14">
        <f t="shared" si="16"/>
        <v>0</v>
      </c>
      <c r="N51" s="14">
        <f t="shared" si="16"/>
        <v>0</v>
      </c>
      <c r="O51" s="14">
        <f t="shared" si="16"/>
        <v>0</v>
      </c>
      <c r="P51" s="14">
        <f>SUM(D51:O51)</f>
        <v>0</v>
      </c>
      <c r="Q51" s="14">
        <f>SUM(Q46:Q48)</f>
        <v>0</v>
      </c>
      <c r="R51" s="14">
        <f>P51-Q51</f>
        <v>0</v>
      </c>
    </row>
    <row r="53" spans="1:18">
      <c r="A53" s="26" t="s">
        <v>37</v>
      </c>
      <c r="C53" s="14"/>
      <c r="D53" s="14">
        <f t="shared" ref="D53:O53" si="17">C56</f>
        <v>5865</v>
      </c>
      <c r="E53" s="14">
        <f t="shared" si="17"/>
        <v>5860</v>
      </c>
      <c r="F53" s="14">
        <f t="shared" si="17"/>
        <v>5857</v>
      </c>
      <c r="G53" s="14">
        <f t="shared" si="17"/>
        <v>4596</v>
      </c>
      <c r="H53" s="14">
        <f t="shared" si="17"/>
        <v>4586</v>
      </c>
      <c r="I53" s="14">
        <f t="shared" si="17"/>
        <v>4389</v>
      </c>
      <c r="J53" s="14">
        <f t="shared" si="17"/>
        <v>4372</v>
      </c>
      <c r="K53" s="14">
        <f t="shared" si="17"/>
        <v>4373</v>
      </c>
      <c r="L53" s="14">
        <f t="shared" si="17"/>
        <v>4373</v>
      </c>
      <c r="M53" s="14">
        <f t="shared" si="17"/>
        <v>4373</v>
      </c>
      <c r="N53" s="14">
        <f t="shared" si="17"/>
        <v>4373</v>
      </c>
      <c r="O53" s="14">
        <f t="shared" si="17"/>
        <v>4373</v>
      </c>
      <c r="P53" s="14"/>
    </row>
    <row r="54" spans="1:18">
      <c r="A54" s="27" t="s">
        <v>115</v>
      </c>
      <c r="C54" s="25">
        <v>0</v>
      </c>
      <c r="D54" s="25">
        <v>-5</v>
      </c>
      <c r="E54" s="25">
        <v>-3</v>
      </c>
      <c r="F54" s="25">
        <v>-1261</v>
      </c>
      <c r="G54" s="25">
        <v>-10</v>
      </c>
      <c r="H54" s="25">
        <v>-197</v>
      </c>
      <c r="I54" s="25">
        <v>-17</v>
      </c>
      <c r="J54" s="25">
        <v>1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16">
        <f>SUM(D54:O54)</f>
        <v>-1492</v>
      </c>
      <c r="Q54" s="25">
        <f>SUM(D54:J54)</f>
        <v>-1492</v>
      </c>
      <c r="R54" s="16">
        <f>P54-Q54</f>
        <v>0</v>
      </c>
    </row>
    <row r="55" spans="1:18" ht="3.95" customHeight="1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>
      <c r="A56" s="26" t="s">
        <v>38</v>
      </c>
      <c r="C56" s="17">
        <v>5865</v>
      </c>
      <c r="D56" s="14">
        <f t="shared" ref="D56:O56" si="18">D53+D54</f>
        <v>5860</v>
      </c>
      <c r="E56" s="14">
        <f t="shared" si="18"/>
        <v>5857</v>
      </c>
      <c r="F56" s="14">
        <f t="shared" si="18"/>
        <v>4596</v>
      </c>
      <c r="G56" s="14">
        <f t="shared" si="18"/>
        <v>4586</v>
      </c>
      <c r="H56" s="14">
        <f t="shared" si="18"/>
        <v>4389</v>
      </c>
      <c r="I56" s="14">
        <f t="shared" si="18"/>
        <v>4372</v>
      </c>
      <c r="J56" s="14">
        <f t="shared" si="18"/>
        <v>4373</v>
      </c>
      <c r="K56" s="14">
        <f t="shared" si="18"/>
        <v>4373</v>
      </c>
      <c r="L56" s="14">
        <f t="shared" si="18"/>
        <v>4373</v>
      </c>
      <c r="M56" s="14">
        <f t="shared" si="18"/>
        <v>4373</v>
      </c>
      <c r="N56" s="14">
        <f t="shared" si="18"/>
        <v>4373</v>
      </c>
      <c r="O56" s="14">
        <f t="shared" si="18"/>
        <v>4373</v>
      </c>
      <c r="P56" s="14"/>
    </row>
    <row r="57" spans="1:18" ht="3.95" customHeight="1"/>
    <row r="58" spans="1:18">
      <c r="A58" s="27" t="s">
        <v>23</v>
      </c>
      <c r="C58" s="14"/>
      <c r="D58" s="14">
        <f t="shared" ref="D58:O58" si="19">D56-C56</f>
        <v>-5</v>
      </c>
      <c r="E58" s="14">
        <f t="shared" si="19"/>
        <v>-3</v>
      </c>
      <c r="F58" s="14">
        <f t="shared" si="19"/>
        <v>-1261</v>
      </c>
      <c r="G58" s="14">
        <f t="shared" si="19"/>
        <v>-10</v>
      </c>
      <c r="H58" s="14">
        <f t="shared" si="19"/>
        <v>-197</v>
      </c>
      <c r="I58" s="14">
        <f t="shared" si="19"/>
        <v>-17</v>
      </c>
      <c r="J58" s="14">
        <f t="shared" si="19"/>
        <v>1</v>
      </c>
      <c r="K58" s="14">
        <f t="shared" si="19"/>
        <v>0</v>
      </c>
      <c r="L58" s="14">
        <f t="shared" si="19"/>
        <v>0</v>
      </c>
      <c r="M58" s="14">
        <f t="shared" si="19"/>
        <v>0</v>
      </c>
      <c r="N58" s="14">
        <f t="shared" si="19"/>
        <v>0</v>
      </c>
      <c r="O58" s="14">
        <f t="shared" si="19"/>
        <v>0</v>
      </c>
      <c r="P58" s="14">
        <f>SUM(D58:O58)</f>
        <v>-1492</v>
      </c>
      <c r="Q58" s="14">
        <f>SUM(Q54:Q55)</f>
        <v>-1492</v>
      </c>
      <c r="R58" s="14">
        <f>P58-Q58</f>
        <v>0</v>
      </c>
    </row>
    <row r="59" spans="1:18">
      <c r="A59" s="27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>
      <c r="A60" s="26" t="s">
        <v>39</v>
      </c>
      <c r="C60" s="14"/>
      <c r="D60" s="14">
        <f t="shared" ref="D60:O60" si="20">C63</f>
        <v>80047</v>
      </c>
      <c r="E60" s="14">
        <f t="shared" si="20"/>
        <v>82120</v>
      </c>
      <c r="F60" s="14">
        <f t="shared" si="20"/>
        <v>71100</v>
      </c>
      <c r="G60" s="14">
        <f t="shared" si="20"/>
        <v>61495</v>
      </c>
      <c r="H60" s="14">
        <f t="shared" si="20"/>
        <v>57748</v>
      </c>
      <c r="I60" s="14">
        <f t="shared" si="20"/>
        <v>52160</v>
      </c>
      <c r="J60" s="14">
        <f t="shared" si="20"/>
        <v>57225</v>
      </c>
      <c r="K60" s="14">
        <f t="shared" si="20"/>
        <v>41497</v>
      </c>
      <c r="L60" s="14">
        <f t="shared" si="20"/>
        <v>41497</v>
      </c>
      <c r="M60" s="14">
        <f t="shared" si="20"/>
        <v>41497</v>
      </c>
      <c r="N60" s="14">
        <f t="shared" si="20"/>
        <v>41497</v>
      </c>
      <c r="O60" s="14">
        <f t="shared" si="20"/>
        <v>41497</v>
      </c>
      <c r="P60" s="14"/>
    </row>
    <row r="61" spans="1:18">
      <c r="A61" s="27" t="s">
        <v>22</v>
      </c>
      <c r="C61" s="25">
        <v>0</v>
      </c>
      <c r="D61" s="25">
        <v>2073</v>
      </c>
      <c r="E61" s="25">
        <v>-11020</v>
      </c>
      <c r="F61" s="25">
        <v>-9605</v>
      </c>
      <c r="G61" s="25">
        <v>-3747</v>
      </c>
      <c r="H61" s="25">
        <v>-5588</v>
      </c>
      <c r="I61" s="25">
        <v>5065</v>
      </c>
      <c r="J61" s="25">
        <v>-15728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16">
        <f>SUM(D61:O61)</f>
        <v>-38550</v>
      </c>
      <c r="Q61" s="25">
        <f>SUM(D61:J61)</f>
        <v>-38550</v>
      </c>
      <c r="R61" s="16">
        <f>P61-Q61</f>
        <v>0</v>
      </c>
    </row>
    <row r="62" spans="1:18" ht="3.95" customHeight="1"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>
      <c r="A63" s="26" t="s">
        <v>40</v>
      </c>
      <c r="C63" s="17">
        <v>80047</v>
      </c>
      <c r="D63" s="14">
        <f t="shared" ref="D63:O63" si="21">D60+D61</f>
        <v>82120</v>
      </c>
      <c r="E63" s="14">
        <f t="shared" si="21"/>
        <v>71100</v>
      </c>
      <c r="F63" s="14">
        <f t="shared" si="21"/>
        <v>61495</v>
      </c>
      <c r="G63" s="14">
        <f t="shared" si="21"/>
        <v>57748</v>
      </c>
      <c r="H63" s="14">
        <f t="shared" si="21"/>
        <v>52160</v>
      </c>
      <c r="I63" s="14">
        <f t="shared" si="21"/>
        <v>57225</v>
      </c>
      <c r="J63" s="14">
        <f t="shared" si="21"/>
        <v>41497</v>
      </c>
      <c r="K63" s="14">
        <f t="shared" si="21"/>
        <v>41497</v>
      </c>
      <c r="L63" s="14">
        <f t="shared" si="21"/>
        <v>41497</v>
      </c>
      <c r="M63" s="14">
        <f t="shared" si="21"/>
        <v>41497</v>
      </c>
      <c r="N63" s="14">
        <f t="shared" si="21"/>
        <v>41497</v>
      </c>
      <c r="O63" s="14">
        <f t="shared" si="21"/>
        <v>41497</v>
      </c>
      <c r="P63" s="14"/>
    </row>
    <row r="64" spans="1:18" ht="3.95" customHeight="1"/>
    <row r="65" spans="1:21">
      <c r="A65" s="27" t="s">
        <v>23</v>
      </c>
      <c r="C65" s="14"/>
      <c r="D65" s="14">
        <f t="shared" ref="D65:O65" si="22">D63-C63</f>
        <v>2073</v>
      </c>
      <c r="E65" s="14">
        <f t="shared" si="22"/>
        <v>-11020</v>
      </c>
      <c r="F65" s="14">
        <f t="shared" si="22"/>
        <v>-9605</v>
      </c>
      <c r="G65" s="14">
        <f t="shared" si="22"/>
        <v>-3747</v>
      </c>
      <c r="H65" s="14">
        <f t="shared" si="22"/>
        <v>-5588</v>
      </c>
      <c r="I65" s="14">
        <f t="shared" si="22"/>
        <v>5065</v>
      </c>
      <c r="J65" s="14">
        <f t="shared" si="22"/>
        <v>-15728</v>
      </c>
      <c r="K65" s="14">
        <f t="shared" si="22"/>
        <v>0</v>
      </c>
      <c r="L65" s="14">
        <f t="shared" si="22"/>
        <v>0</v>
      </c>
      <c r="M65" s="14">
        <f t="shared" si="22"/>
        <v>0</v>
      </c>
      <c r="N65" s="14">
        <f t="shared" si="22"/>
        <v>0</v>
      </c>
      <c r="O65" s="14">
        <f t="shared" si="22"/>
        <v>0</v>
      </c>
      <c r="P65" s="14">
        <f>SUM(D65:O65)</f>
        <v>-38550</v>
      </c>
      <c r="Q65" s="14">
        <f>SUM(Q61:Q62)</f>
        <v>-38550</v>
      </c>
      <c r="R65" s="14">
        <f>P65-Q65</f>
        <v>0</v>
      </c>
    </row>
    <row r="66" spans="1:21">
      <c r="A66" s="27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21">
      <c r="A67" s="26" t="s">
        <v>41</v>
      </c>
      <c r="C67" s="14"/>
      <c r="D67" s="14">
        <f t="shared" ref="D67:O67" si="23">C72</f>
        <v>0</v>
      </c>
      <c r="E67" s="14">
        <f t="shared" si="23"/>
        <v>0</v>
      </c>
      <c r="F67" s="14">
        <f t="shared" si="23"/>
        <v>0</v>
      </c>
      <c r="G67" s="14">
        <f t="shared" si="23"/>
        <v>0</v>
      </c>
      <c r="H67" s="14">
        <f t="shared" si="23"/>
        <v>0</v>
      </c>
      <c r="I67" s="14">
        <f t="shared" si="23"/>
        <v>0</v>
      </c>
      <c r="J67" s="14">
        <f t="shared" si="23"/>
        <v>162</v>
      </c>
      <c r="K67" s="14">
        <f t="shared" si="23"/>
        <v>162</v>
      </c>
      <c r="L67" s="14">
        <f t="shared" si="23"/>
        <v>162</v>
      </c>
      <c r="M67" s="14">
        <f t="shared" si="23"/>
        <v>162</v>
      </c>
      <c r="N67" s="14">
        <f t="shared" si="23"/>
        <v>162</v>
      </c>
      <c r="O67" s="14">
        <f t="shared" si="23"/>
        <v>162</v>
      </c>
      <c r="P67" s="14"/>
    </row>
    <row r="68" spans="1:21">
      <c r="A68" s="27" t="s">
        <v>541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4">
        <f>SUM(D68:O68)</f>
        <v>0</v>
      </c>
      <c r="Q68" s="17">
        <f>SUM(D68:J68)</f>
        <v>0</v>
      </c>
      <c r="R68" s="14">
        <f>P68-Q68</f>
        <v>0</v>
      </c>
    </row>
    <row r="69" spans="1:21">
      <c r="A69" s="27" t="s">
        <v>524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1080</v>
      </c>
      <c r="P69" s="14">
        <f>SUM(D69:O69)</f>
        <v>1080</v>
      </c>
      <c r="Q69" s="17">
        <f>SUM(D69:J69)</f>
        <v>0</v>
      </c>
      <c r="R69" s="14">
        <f>P69-Q69</f>
        <v>1080</v>
      </c>
    </row>
    <row r="70" spans="1:21">
      <c r="A70" s="27" t="s">
        <v>22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162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16">
        <f>SUM(D70:O70)</f>
        <v>162</v>
      </c>
      <c r="Q70" s="25">
        <f>SUM(D70:J70)</f>
        <v>162</v>
      </c>
      <c r="R70" s="16">
        <f>P70-Q70</f>
        <v>0</v>
      </c>
    </row>
    <row r="71" spans="1:21" ht="3.95" customHeight="1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21">
      <c r="A72" s="26" t="s">
        <v>42</v>
      </c>
      <c r="C72" s="14">
        <f t="shared" ref="C72:O72" si="24">SUM(C67:C71)</f>
        <v>0</v>
      </c>
      <c r="D72" s="14">
        <f t="shared" si="24"/>
        <v>0</v>
      </c>
      <c r="E72" s="14">
        <f t="shared" si="24"/>
        <v>0</v>
      </c>
      <c r="F72" s="14">
        <f t="shared" si="24"/>
        <v>0</v>
      </c>
      <c r="G72" s="14">
        <f t="shared" si="24"/>
        <v>0</v>
      </c>
      <c r="H72" s="14">
        <f t="shared" si="24"/>
        <v>0</v>
      </c>
      <c r="I72" s="14">
        <f t="shared" si="24"/>
        <v>162</v>
      </c>
      <c r="J72" s="14">
        <f t="shared" si="24"/>
        <v>162</v>
      </c>
      <c r="K72" s="14">
        <f t="shared" si="24"/>
        <v>162</v>
      </c>
      <c r="L72" s="14">
        <f t="shared" si="24"/>
        <v>162</v>
      </c>
      <c r="M72" s="14">
        <f t="shared" si="24"/>
        <v>162</v>
      </c>
      <c r="N72" s="14">
        <f t="shared" si="24"/>
        <v>162</v>
      </c>
      <c r="O72" s="14">
        <f t="shared" si="24"/>
        <v>1242</v>
      </c>
      <c r="P72" s="14"/>
    </row>
    <row r="73" spans="1:21" ht="3.95" customHeight="1"/>
    <row r="74" spans="1:21">
      <c r="A74" s="27" t="s">
        <v>23</v>
      </c>
      <c r="C74" s="14"/>
      <c r="D74" s="14">
        <f t="shared" ref="D74:O74" si="25">D72-C72</f>
        <v>0</v>
      </c>
      <c r="E74" s="14">
        <f t="shared" si="25"/>
        <v>0</v>
      </c>
      <c r="F74" s="14">
        <f t="shared" si="25"/>
        <v>0</v>
      </c>
      <c r="G74" s="14">
        <f t="shared" si="25"/>
        <v>0</v>
      </c>
      <c r="H74" s="14">
        <f t="shared" si="25"/>
        <v>0</v>
      </c>
      <c r="I74" s="14">
        <f t="shared" si="25"/>
        <v>162</v>
      </c>
      <c r="J74" s="14">
        <f t="shared" si="25"/>
        <v>0</v>
      </c>
      <c r="K74" s="14">
        <f t="shared" si="25"/>
        <v>0</v>
      </c>
      <c r="L74" s="14">
        <f t="shared" si="25"/>
        <v>0</v>
      </c>
      <c r="M74" s="14">
        <f t="shared" si="25"/>
        <v>0</v>
      </c>
      <c r="N74" s="14">
        <f t="shared" si="25"/>
        <v>0</v>
      </c>
      <c r="O74" s="14">
        <f t="shared" si="25"/>
        <v>1080</v>
      </c>
      <c r="P74" s="14">
        <f>SUM(D74:O74)</f>
        <v>1242</v>
      </c>
      <c r="Q74" s="14">
        <f>SUM(Q68:Q71)</f>
        <v>162</v>
      </c>
      <c r="R74" s="14">
        <f>P74-Q74</f>
        <v>1080</v>
      </c>
    </row>
    <row r="75" spans="1:21" ht="8.1" customHeight="1"/>
    <row r="77" spans="1:21">
      <c r="A77" s="26" t="s">
        <v>552</v>
      </c>
      <c r="C77" s="14"/>
      <c r="D77" s="14">
        <f t="shared" ref="D77:O77" si="26">C97</f>
        <v>8713</v>
      </c>
      <c r="E77" s="14">
        <f t="shared" si="26"/>
        <v>9693</v>
      </c>
      <c r="F77" s="14">
        <f t="shared" si="26"/>
        <v>10458</v>
      </c>
      <c r="G77" s="14">
        <f t="shared" si="26"/>
        <v>8886</v>
      </c>
      <c r="H77" s="14">
        <f t="shared" si="26"/>
        <v>9318</v>
      </c>
      <c r="I77" s="14">
        <f t="shared" si="26"/>
        <v>8355</v>
      </c>
      <c r="J77" s="14">
        <f t="shared" si="26"/>
        <v>8132</v>
      </c>
      <c r="K77" s="14">
        <f t="shared" si="26"/>
        <v>8534</v>
      </c>
      <c r="L77" s="14">
        <f t="shared" si="26"/>
        <v>7977</v>
      </c>
      <c r="M77" s="14">
        <f t="shared" si="26"/>
        <v>10360</v>
      </c>
      <c r="N77" s="14">
        <f t="shared" si="26"/>
        <v>10567</v>
      </c>
      <c r="O77" s="14">
        <f t="shared" si="26"/>
        <v>10061</v>
      </c>
      <c r="P77" s="14"/>
      <c r="U77" s="13" t="s">
        <v>45</v>
      </c>
    </row>
    <row r="78" spans="1:21">
      <c r="A78" s="27" t="s">
        <v>46</v>
      </c>
      <c r="B78" s="18" t="s">
        <v>26</v>
      </c>
      <c r="C78" s="17">
        <v>0</v>
      </c>
      <c r="D78" s="14">
        <f>-[1]Source!D49</f>
        <v>0</v>
      </c>
      <c r="E78" s="14">
        <f>-[1]Source!E49</f>
        <v>0</v>
      </c>
      <c r="F78" s="14">
        <f>-[1]Source!F49</f>
        <v>0</v>
      </c>
      <c r="G78" s="14">
        <f>-[1]Source!G49</f>
        <v>0</v>
      </c>
      <c r="H78" s="14">
        <f>-[1]Source!H49</f>
        <v>0</v>
      </c>
      <c r="I78" s="14">
        <f>-[1]Source!I49</f>
        <v>0</v>
      </c>
      <c r="J78" s="14">
        <f>-[1]Source!J49</f>
        <v>0</v>
      </c>
      <c r="K78" s="14">
        <f>-[1]Source!K49</f>
        <v>0</v>
      </c>
      <c r="L78" s="14">
        <f>-[1]Source!L49</f>
        <v>2737</v>
      </c>
      <c r="M78" s="14">
        <f>-[1]Source!M49</f>
        <v>0</v>
      </c>
      <c r="N78" s="14">
        <f>-[1]Source!N49</f>
        <v>0</v>
      </c>
      <c r="O78" s="14">
        <f>-[1]Source!O49</f>
        <v>0</v>
      </c>
      <c r="P78" s="14">
        <f t="shared" ref="P78:P91" si="27">SUM(D78:O78)</f>
        <v>2737</v>
      </c>
      <c r="Q78" s="17">
        <f t="shared" ref="Q78:Q95" si="28">SUM(D78:J78)</f>
        <v>0</v>
      </c>
      <c r="R78" s="14">
        <f t="shared" ref="R78:R91" si="29">P78-Q78</f>
        <v>2737</v>
      </c>
      <c r="T78" s="17">
        <f>SUM(C78:J78)</f>
        <v>0</v>
      </c>
      <c r="U78" s="14"/>
    </row>
    <row r="79" spans="1:21">
      <c r="A79" s="27" t="s">
        <v>47</v>
      </c>
      <c r="B79" s="18" t="s">
        <v>26</v>
      </c>
      <c r="C79" s="17">
        <v>2186</v>
      </c>
      <c r="D79" s="14">
        <f>-[1]Source!D33</f>
        <v>-243</v>
      </c>
      <c r="E79" s="187">
        <f>-[1]Source!E33+1</f>
        <v>-242</v>
      </c>
      <c r="F79" s="187">
        <f>-[1]Source!F33-1</f>
        <v>-1701</v>
      </c>
      <c r="G79" s="14">
        <f>-[1]Source!G33</f>
        <v>0</v>
      </c>
      <c r="H79" s="14">
        <f>-[1]Source!H33</f>
        <v>0</v>
      </c>
      <c r="I79" s="14">
        <f>-[1]Source!I33</f>
        <v>0</v>
      </c>
      <c r="J79" s="14">
        <f>-[1]Source!J33</f>
        <v>0</v>
      </c>
      <c r="K79" s="14">
        <f>-[1]Source!K33</f>
        <v>0</v>
      </c>
      <c r="L79" s="14">
        <f>-[1]Source!L33</f>
        <v>0</v>
      </c>
      <c r="M79" s="14">
        <f>-[1]Source!M33</f>
        <v>-228</v>
      </c>
      <c r="N79" s="14">
        <f>-[1]Source!N33</f>
        <v>-228</v>
      </c>
      <c r="O79" s="14">
        <f>-[1]Source!O33</f>
        <v>-228</v>
      </c>
      <c r="P79" s="14">
        <f t="shared" si="27"/>
        <v>-2870</v>
      </c>
      <c r="Q79" s="17">
        <f t="shared" si="28"/>
        <v>-2186</v>
      </c>
      <c r="R79" s="14">
        <f t="shared" si="29"/>
        <v>-684</v>
      </c>
      <c r="T79" s="17">
        <f t="shared" ref="T79:T95" si="30">SUM(C79:J79)</f>
        <v>0</v>
      </c>
      <c r="U79" s="14">
        <f>SUM(T78:T79)</f>
        <v>0</v>
      </c>
    </row>
    <row r="80" spans="1:21">
      <c r="A80" s="27" t="s">
        <v>48</v>
      </c>
      <c r="B80" s="18" t="s">
        <v>26</v>
      </c>
      <c r="C80" s="17">
        <v>-63</v>
      </c>
      <c r="D80" s="14">
        <f>[1]Source!D26+[1]Source!D16+[1]Source!D28+[1]Source!D17</f>
        <v>0</v>
      </c>
      <c r="E80" s="14">
        <f>[1]Source!E26+[1]Source!E16+[1]Source!E28+[1]Source!E17</f>
        <v>0</v>
      </c>
      <c r="F80" s="14">
        <f>[1]Source!F26+[1]Source!F16+[1]Source!F28+[1]Source!F17</f>
        <v>-1</v>
      </c>
      <c r="G80" s="14">
        <f>[1]Source!G26+[1]Source!G16+[1]Source!G28+[1]Source!G17</f>
        <v>-1</v>
      </c>
      <c r="H80" s="14">
        <f>[1]Source!H26+[1]Source!H16+[1]Source!H28+[1]Source!H17</f>
        <v>0</v>
      </c>
      <c r="I80" s="14">
        <f>[1]Source!I26+[1]Source!I16+[1]Source!I28+[1]Source!I17</f>
        <v>-1</v>
      </c>
      <c r="J80" s="187">
        <f>[1]Source!J26+[1]Source!J16+[1]Source!J28+[1]Source!J17-1</f>
        <v>-1</v>
      </c>
      <c r="K80" s="14">
        <f>[1]Source!K26+[1]Source!K16+[1]Source!K28+[1]Source!K17</f>
        <v>-1</v>
      </c>
      <c r="L80" s="14">
        <f>[1]Source!L26+[1]Source!L16+[1]Source!L28+[1]Source!L17</f>
        <v>0</v>
      </c>
      <c r="M80" s="141">
        <f>[1]Source!M26+[1]Source!M16+[1]Source!M28+[1]Source!M17</f>
        <v>-1</v>
      </c>
      <c r="N80" s="14">
        <f>[1]Source!N26+[1]Source!N16+[1]Source!N28+[1]Source!N17</f>
        <v>0</v>
      </c>
      <c r="O80" s="14">
        <f>[1]Source!O26+[1]Source!O16+[1]Source!O28+[1]Source!O17</f>
        <v>0</v>
      </c>
      <c r="P80" s="14">
        <f t="shared" si="27"/>
        <v>-6</v>
      </c>
      <c r="Q80" s="17">
        <f t="shared" si="28"/>
        <v>-4</v>
      </c>
      <c r="R80" s="14">
        <f t="shared" si="29"/>
        <v>-2</v>
      </c>
      <c r="T80" s="17">
        <f t="shared" si="30"/>
        <v>-67</v>
      </c>
      <c r="U80" s="14">
        <f>SUM(T80)</f>
        <v>-67</v>
      </c>
    </row>
    <row r="81" spans="1:21">
      <c r="A81" s="27" t="s">
        <v>542</v>
      </c>
      <c r="B81" s="18" t="s">
        <v>26</v>
      </c>
      <c r="C81" s="17">
        <v>101</v>
      </c>
      <c r="D81" s="187">
        <f>[1]Source!D63+[1]Source!D64+[1]Source!D67-D211-103</f>
        <v>-105</v>
      </c>
      <c r="E81" s="187">
        <f>[1]Source!E63+[1]Source!E64+[1]Source!E67-E211+1</f>
        <v>-2</v>
      </c>
      <c r="F81" s="186">
        <f>[1]Source!F63+[1]Source!F64+[1]Source!F67-F211</f>
        <v>-3</v>
      </c>
      <c r="G81" s="186">
        <f>[1]Source!G63+[1]Source!G64+[1]Source!G67-G211</f>
        <v>-2</v>
      </c>
      <c r="H81" s="186">
        <f>[1]Source!H63+[1]Source!H64+[1]Source!H67-H211</f>
        <v>-3</v>
      </c>
      <c r="I81" s="186">
        <f>[1]Source!I63+[1]Source!I64+[1]Source!I67-I211</f>
        <v>-2</v>
      </c>
      <c r="J81" s="186">
        <f>[1]Source!J63+[1]Source!J64+[1]Source!J67-J211</f>
        <v>-3</v>
      </c>
      <c r="K81" s="186">
        <f>[1]Source!K63+[1]Source!K64+[1]Source!K67-K211</f>
        <v>-2</v>
      </c>
      <c r="L81" s="186">
        <f>[1]Source!L63+[1]Source!L64+[1]Source!L67-L211</f>
        <v>-2</v>
      </c>
      <c r="M81" s="226">
        <f>[1]Source!M63+[1]Source!M64+[1]Source!M67-M211+23</f>
        <v>23</v>
      </c>
      <c r="N81" s="186">
        <f>[1]Source!N63+[1]Source!N64+[1]Source!N67-N211</f>
        <v>0</v>
      </c>
      <c r="O81" s="186">
        <f>[1]Source!O63+[1]Source!O64+[1]Source!O67-O211</f>
        <v>0</v>
      </c>
      <c r="P81" s="14">
        <f t="shared" si="27"/>
        <v>-101</v>
      </c>
      <c r="Q81" s="17">
        <f t="shared" si="28"/>
        <v>-120</v>
      </c>
      <c r="R81" s="14">
        <f t="shared" si="29"/>
        <v>19</v>
      </c>
      <c r="T81" s="17">
        <f t="shared" si="30"/>
        <v>-19</v>
      </c>
      <c r="U81" s="14">
        <f>SUM(T81)</f>
        <v>-19</v>
      </c>
    </row>
    <row r="82" spans="1:21">
      <c r="A82" s="27" t="s">
        <v>49</v>
      </c>
      <c r="B82" s="18" t="s">
        <v>26</v>
      </c>
      <c r="C82" s="17">
        <v>-151</v>
      </c>
      <c r="D82" s="186">
        <f>[1]Source!D68+[1]Source!D18-D214</f>
        <v>-71</v>
      </c>
      <c r="E82" s="186">
        <f>[1]Source!E68+[1]Source!E18-E214</f>
        <v>-72</v>
      </c>
      <c r="F82" s="186">
        <f>[1]Source!F68+[1]Source!F18-F214</f>
        <v>-73</v>
      </c>
      <c r="G82" s="187">
        <f>[1]Source!G68+[1]Source!G18-G214-1</f>
        <v>-74</v>
      </c>
      <c r="H82" s="187">
        <f>[1]Source!H68+[1]Source!H18-H214+1</f>
        <v>-70</v>
      </c>
      <c r="I82" s="187">
        <f>[1]Source!I68+[1]Source!I18-I214-1</f>
        <v>-71</v>
      </c>
      <c r="J82" s="186">
        <f>[1]Source!J68+[1]Source!J18-J214</f>
        <v>-71</v>
      </c>
      <c r="K82" s="186">
        <f>[1]Source!K68+[1]Source!K18-K214</f>
        <v>-64</v>
      </c>
      <c r="L82" s="186">
        <f>[1]Source!L68+[1]Source!L18-L214</f>
        <v>-62</v>
      </c>
      <c r="M82" s="226">
        <f>[1]Source!M68+[1]Source!M18-M214+779</f>
        <v>779</v>
      </c>
      <c r="N82" s="186">
        <f>[1]Source!N68+[1]Source!N18-N214</f>
        <v>0</v>
      </c>
      <c r="O82" s="186">
        <f>[1]Source!O68+[1]Source!O18-O214</f>
        <v>0</v>
      </c>
      <c r="P82" s="14">
        <f t="shared" si="27"/>
        <v>151</v>
      </c>
      <c r="Q82" s="17">
        <f t="shared" si="28"/>
        <v>-502</v>
      </c>
      <c r="R82" s="14">
        <f t="shared" si="29"/>
        <v>653</v>
      </c>
      <c r="T82" s="17">
        <f t="shared" si="30"/>
        <v>-653</v>
      </c>
      <c r="U82" s="14">
        <f>SUM(T82)</f>
        <v>-653</v>
      </c>
    </row>
    <row r="83" spans="1:21">
      <c r="A83" s="27" t="s">
        <v>50</v>
      </c>
      <c r="B83" s="18" t="s">
        <v>26</v>
      </c>
      <c r="C83" s="17">
        <v>-88</v>
      </c>
      <c r="D83" s="141">
        <f>[1]Source!D70</f>
        <v>0</v>
      </c>
      <c r="E83" s="141">
        <f>[1]Source!E70</f>
        <v>0</v>
      </c>
      <c r="F83" s="141">
        <f>[1]Source!F70</f>
        <v>0</v>
      </c>
      <c r="G83" s="141">
        <f>[1]Source!G70</f>
        <v>0</v>
      </c>
      <c r="H83" s="141">
        <f>[1]Source!H70</f>
        <v>0</v>
      </c>
      <c r="I83" s="141">
        <f>[1]Source!I70</f>
        <v>0</v>
      </c>
      <c r="J83" s="141">
        <f>[1]Source!J70</f>
        <v>0</v>
      </c>
      <c r="K83" s="141">
        <f>[1]Source!K70</f>
        <v>0</v>
      </c>
      <c r="L83" s="141">
        <f>[1]Source!L70</f>
        <v>0</v>
      </c>
      <c r="M83" s="187">
        <f>[1]Source!M70-89</f>
        <v>-89</v>
      </c>
      <c r="N83" s="141">
        <f>[1]Source!N70</f>
        <v>0</v>
      </c>
      <c r="O83" s="141">
        <f>[1]Source!O70</f>
        <v>0</v>
      </c>
      <c r="P83" s="14">
        <f t="shared" si="27"/>
        <v>-89</v>
      </c>
      <c r="Q83" s="17">
        <f t="shared" si="28"/>
        <v>0</v>
      </c>
      <c r="R83" s="14">
        <f t="shared" si="29"/>
        <v>-89</v>
      </c>
      <c r="T83" s="17">
        <f t="shared" si="30"/>
        <v>-88</v>
      </c>
      <c r="U83" s="14">
        <f>SUM(T83)</f>
        <v>-88</v>
      </c>
    </row>
    <row r="84" spans="1:21">
      <c r="A84" s="27" t="s">
        <v>51</v>
      </c>
      <c r="B84" s="18" t="s">
        <v>26</v>
      </c>
      <c r="C84" s="17">
        <v>0</v>
      </c>
      <c r="D84" s="14">
        <f>[1]Source!D72</f>
        <v>0</v>
      </c>
      <c r="E84" s="14">
        <f>[1]Source!E72</f>
        <v>0</v>
      </c>
      <c r="F84" s="141">
        <f>[1]Source!F72</f>
        <v>0</v>
      </c>
      <c r="G84" s="141">
        <f>[1]Source!G72</f>
        <v>0</v>
      </c>
      <c r="H84" s="141">
        <f>[1]Source!H72</f>
        <v>0</v>
      </c>
      <c r="I84" s="141">
        <f>[1]Source!I72</f>
        <v>0</v>
      </c>
      <c r="J84" s="141">
        <f>[1]Source!J72</f>
        <v>0</v>
      </c>
      <c r="K84" s="141">
        <f>[1]Source!K72</f>
        <v>0</v>
      </c>
      <c r="L84" s="141">
        <f>[1]Source!L72</f>
        <v>0</v>
      </c>
      <c r="M84" s="141">
        <f>[1]Source!M72</f>
        <v>0</v>
      </c>
      <c r="N84" s="141">
        <f>[1]Source!N72</f>
        <v>0</v>
      </c>
      <c r="O84" s="141">
        <f>[1]Source!O72</f>
        <v>0</v>
      </c>
      <c r="P84" s="14">
        <f t="shared" si="27"/>
        <v>0</v>
      </c>
      <c r="Q84" s="17">
        <f t="shared" si="28"/>
        <v>0</v>
      </c>
      <c r="R84" s="14">
        <f t="shared" si="29"/>
        <v>0</v>
      </c>
      <c r="T84" s="17">
        <f t="shared" si="30"/>
        <v>0</v>
      </c>
      <c r="U84" s="14">
        <f t="shared" ref="U84:U95" si="31">SUM(T84)</f>
        <v>0</v>
      </c>
    </row>
    <row r="85" spans="1:21">
      <c r="A85" s="15" t="s">
        <v>96</v>
      </c>
      <c r="B85" s="18"/>
      <c r="C85" s="17">
        <v>2616</v>
      </c>
      <c r="D85" s="17">
        <v>1</v>
      </c>
      <c r="E85" s="17">
        <v>1</v>
      </c>
      <c r="F85" s="17">
        <v>1</v>
      </c>
      <c r="G85" s="17">
        <v>1</v>
      </c>
      <c r="H85" s="17">
        <v>1</v>
      </c>
      <c r="I85" s="17">
        <v>1</v>
      </c>
      <c r="J85" s="17">
        <v>1025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4">
        <f>SUM(D85:O85)</f>
        <v>1031</v>
      </c>
      <c r="Q85" s="17">
        <f t="shared" si="28"/>
        <v>1031</v>
      </c>
      <c r="R85" s="14">
        <f>P85-Q85</f>
        <v>0</v>
      </c>
      <c r="T85" s="17">
        <f t="shared" si="30"/>
        <v>3647</v>
      </c>
      <c r="U85" s="14">
        <f t="shared" si="31"/>
        <v>3647</v>
      </c>
    </row>
    <row r="86" spans="1:21">
      <c r="A86" s="15" t="s">
        <v>513</v>
      </c>
      <c r="B86" s="18"/>
      <c r="C86" s="17">
        <v>1519</v>
      </c>
      <c r="D86" s="17">
        <v>0</v>
      </c>
      <c r="E86" s="17">
        <v>1</v>
      </c>
      <c r="F86" s="17">
        <v>1</v>
      </c>
      <c r="G86" s="17">
        <v>1</v>
      </c>
      <c r="H86" s="17">
        <v>0</v>
      </c>
      <c r="I86" s="17">
        <v>1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4">
        <f>SUM(D86:O86)</f>
        <v>4</v>
      </c>
      <c r="Q86" s="17">
        <f t="shared" si="28"/>
        <v>4</v>
      </c>
      <c r="R86" s="14">
        <f>P86-Q86</f>
        <v>0</v>
      </c>
      <c r="T86" s="17">
        <f t="shared" si="30"/>
        <v>1523</v>
      </c>
      <c r="U86" s="14">
        <f t="shared" si="31"/>
        <v>1523</v>
      </c>
    </row>
    <row r="87" spans="1:21">
      <c r="A87" s="15" t="s">
        <v>92</v>
      </c>
      <c r="B87" s="18"/>
      <c r="C87" s="17">
        <v>377</v>
      </c>
      <c r="D87" s="17">
        <v>0</v>
      </c>
      <c r="E87" s="17">
        <v>0</v>
      </c>
      <c r="F87" s="17">
        <v>0</v>
      </c>
      <c r="G87" s="17">
        <v>0</v>
      </c>
      <c r="H87" s="17">
        <v>1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4">
        <f>SUM(D87:O87)</f>
        <v>1</v>
      </c>
      <c r="Q87" s="17">
        <f t="shared" si="28"/>
        <v>1</v>
      </c>
      <c r="R87" s="14">
        <f>P87-Q87</f>
        <v>0</v>
      </c>
      <c r="T87" s="17">
        <f t="shared" si="30"/>
        <v>378</v>
      </c>
      <c r="U87" s="14">
        <f t="shared" si="31"/>
        <v>378</v>
      </c>
    </row>
    <row r="88" spans="1:21">
      <c r="A88" s="15" t="s">
        <v>514</v>
      </c>
      <c r="B88" s="18"/>
      <c r="C88" s="17">
        <v>335</v>
      </c>
      <c r="D88" s="17">
        <v>0</v>
      </c>
      <c r="E88" s="17">
        <v>0</v>
      </c>
      <c r="F88" s="17">
        <v>0</v>
      </c>
      <c r="G88" s="17">
        <v>1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4">
        <f>SUM(D88:O88)</f>
        <v>1</v>
      </c>
      <c r="Q88" s="17">
        <f t="shared" si="28"/>
        <v>1</v>
      </c>
      <c r="R88" s="14">
        <f>P88-Q88</f>
        <v>0</v>
      </c>
      <c r="T88" s="17">
        <f t="shared" si="30"/>
        <v>336</v>
      </c>
      <c r="U88" s="14">
        <f t="shared" si="31"/>
        <v>336</v>
      </c>
    </row>
    <row r="89" spans="1:21">
      <c r="A89" s="27" t="s">
        <v>487</v>
      </c>
      <c r="B89" s="18" t="s">
        <v>26</v>
      </c>
      <c r="C89" s="17">
        <v>0</v>
      </c>
      <c r="D89" s="14">
        <f>[1]Source!D23</f>
        <v>0</v>
      </c>
      <c r="E89" s="14">
        <f>[1]Source!E23</f>
        <v>0</v>
      </c>
      <c r="F89" s="141">
        <f>[1]Source!F23</f>
        <v>0</v>
      </c>
      <c r="G89" s="141">
        <f>[1]Source!G23</f>
        <v>0</v>
      </c>
      <c r="H89" s="14">
        <f>[1]Source!H23</f>
        <v>0</v>
      </c>
      <c r="I89" s="14">
        <f>[1]Source!I23</f>
        <v>0</v>
      </c>
      <c r="J89" s="14">
        <f>[1]Source!J23</f>
        <v>0</v>
      </c>
      <c r="K89" s="14">
        <f>[1]Source!K23</f>
        <v>0</v>
      </c>
      <c r="L89" s="14">
        <f>[1]Source!L23</f>
        <v>0</v>
      </c>
      <c r="M89" s="14">
        <f>[1]Source!M23</f>
        <v>0</v>
      </c>
      <c r="N89" s="14">
        <f>[1]Source!N23</f>
        <v>0</v>
      </c>
      <c r="O89" s="14">
        <f>[1]Source!O23</f>
        <v>0</v>
      </c>
      <c r="P89" s="14">
        <f t="shared" si="27"/>
        <v>0</v>
      </c>
      <c r="Q89" s="17">
        <f t="shared" si="28"/>
        <v>0</v>
      </c>
      <c r="R89" s="14">
        <f t="shared" si="29"/>
        <v>0</v>
      </c>
      <c r="T89" s="17">
        <f t="shared" si="30"/>
        <v>0</v>
      </c>
      <c r="U89" s="14">
        <f t="shared" si="31"/>
        <v>0</v>
      </c>
    </row>
    <row r="90" spans="1:21">
      <c r="A90" s="27" t="s">
        <v>491</v>
      </c>
      <c r="B90" s="18"/>
      <c r="C90" s="17">
        <v>1035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4">
        <f>SUM(D90:O90)</f>
        <v>0</v>
      </c>
      <c r="Q90" s="17">
        <f t="shared" si="28"/>
        <v>0</v>
      </c>
      <c r="R90" s="14">
        <f>P90-Q90</f>
        <v>0</v>
      </c>
      <c r="T90" s="17">
        <f t="shared" si="30"/>
        <v>1035</v>
      </c>
      <c r="U90" s="14">
        <f t="shared" si="31"/>
        <v>1035</v>
      </c>
    </row>
    <row r="91" spans="1:21">
      <c r="A91" s="15" t="s">
        <v>52</v>
      </c>
      <c r="B91" s="18"/>
      <c r="C91" s="17">
        <v>467</v>
      </c>
      <c r="D91" s="17">
        <v>252</v>
      </c>
      <c r="E91" s="17">
        <v>1</v>
      </c>
      <c r="F91" s="17">
        <v>0</v>
      </c>
      <c r="G91" s="17">
        <v>0</v>
      </c>
      <c r="H91" s="17">
        <v>1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4">
        <f t="shared" si="27"/>
        <v>254</v>
      </c>
      <c r="Q91" s="17">
        <f t="shared" si="28"/>
        <v>254</v>
      </c>
      <c r="R91" s="14">
        <f t="shared" si="29"/>
        <v>0</v>
      </c>
      <c r="T91" s="17">
        <f t="shared" si="30"/>
        <v>721</v>
      </c>
      <c r="U91" s="14">
        <f t="shared" si="31"/>
        <v>721</v>
      </c>
    </row>
    <row r="92" spans="1:21">
      <c r="A92" s="27" t="s">
        <v>53</v>
      </c>
      <c r="B92" s="18" t="s">
        <v>26</v>
      </c>
      <c r="C92" s="17">
        <v>379</v>
      </c>
      <c r="D92" s="187">
        <f>[1]Source!D21+2</f>
        <v>1146</v>
      </c>
      <c r="E92" s="14">
        <f>[1]Source!E21</f>
        <v>1078</v>
      </c>
      <c r="F92" s="14">
        <f>[1]Source!F21</f>
        <v>204</v>
      </c>
      <c r="G92" s="14">
        <f>[1]Source!G21</f>
        <v>506</v>
      </c>
      <c r="H92" s="14">
        <f>[1]Source!H21</f>
        <v>-893</v>
      </c>
      <c r="I92" s="14">
        <f>[1]Source!I21</f>
        <v>-151</v>
      </c>
      <c r="J92" s="187">
        <f>[1]Source!J21+206-1</f>
        <v>-548</v>
      </c>
      <c r="K92" s="187">
        <f>[1]Source!K21-206</f>
        <v>-490</v>
      </c>
      <c r="L92" s="14">
        <f>[1]Source!L21</f>
        <v>-290</v>
      </c>
      <c r="M92" s="14">
        <f>[1]Source!M21</f>
        <v>-277</v>
      </c>
      <c r="N92" s="14">
        <f>[1]Source!N21</f>
        <v>-278</v>
      </c>
      <c r="O92" s="14">
        <f>[1]Source!O21</f>
        <v>454</v>
      </c>
      <c r="P92" s="14">
        <f>SUM(D92:O92)</f>
        <v>461</v>
      </c>
      <c r="Q92" s="17">
        <f t="shared" si="28"/>
        <v>1342</v>
      </c>
      <c r="R92" s="14">
        <f>P92-Q92</f>
        <v>-881</v>
      </c>
      <c r="T92" s="17">
        <f t="shared" si="30"/>
        <v>1721</v>
      </c>
      <c r="U92" s="14">
        <f t="shared" si="31"/>
        <v>1721</v>
      </c>
    </row>
    <row r="93" spans="1:21">
      <c r="A93" s="27" t="s">
        <v>536</v>
      </c>
      <c r="B93" s="18"/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4">
        <f>SUM(D93:O93)</f>
        <v>0</v>
      </c>
      <c r="Q93" s="17">
        <f t="shared" si="28"/>
        <v>0</v>
      </c>
      <c r="R93" s="14">
        <f>P93-Q93</f>
        <v>0</v>
      </c>
      <c r="T93" s="17">
        <f t="shared" si="30"/>
        <v>0</v>
      </c>
      <c r="U93" s="14">
        <f t="shared" si="31"/>
        <v>0</v>
      </c>
    </row>
    <row r="94" spans="1:21">
      <c r="A94" s="27" t="s">
        <v>32</v>
      </c>
      <c r="B94" s="18"/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4">
        <f>SUM(D94:O94)</f>
        <v>0</v>
      </c>
      <c r="Q94" s="17">
        <f t="shared" si="28"/>
        <v>0</v>
      </c>
      <c r="R94" s="14">
        <f>P94-Q94</f>
        <v>0</v>
      </c>
      <c r="T94" s="17">
        <f t="shared" si="30"/>
        <v>0</v>
      </c>
      <c r="U94" s="14">
        <f t="shared" si="31"/>
        <v>0</v>
      </c>
    </row>
    <row r="95" spans="1:21">
      <c r="A95" s="27" t="s">
        <v>22</v>
      </c>
      <c r="C95" s="25">
        <v>0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16">
        <f>SUM(D95:O95)</f>
        <v>0</v>
      </c>
      <c r="Q95" s="25">
        <f t="shared" si="28"/>
        <v>0</v>
      </c>
      <c r="R95" s="16">
        <f>P95-Q95</f>
        <v>0</v>
      </c>
      <c r="T95" s="25">
        <f t="shared" si="30"/>
        <v>0</v>
      </c>
      <c r="U95" s="14">
        <f t="shared" si="31"/>
        <v>0</v>
      </c>
    </row>
    <row r="96" spans="1:21" ht="3.95" customHeight="1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21">
      <c r="A97" s="26" t="s">
        <v>553</v>
      </c>
      <c r="C97" s="14">
        <f t="shared" ref="C97:O97" si="32">SUM(C77:C95)</f>
        <v>8713</v>
      </c>
      <c r="D97" s="14">
        <f t="shared" si="32"/>
        <v>9693</v>
      </c>
      <c r="E97" s="14">
        <f t="shared" si="32"/>
        <v>10458</v>
      </c>
      <c r="F97" s="14">
        <f t="shared" si="32"/>
        <v>8886</v>
      </c>
      <c r="G97" s="14">
        <f t="shared" si="32"/>
        <v>9318</v>
      </c>
      <c r="H97" s="14">
        <f t="shared" si="32"/>
        <v>8355</v>
      </c>
      <c r="I97" s="14">
        <f t="shared" si="32"/>
        <v>8132</v>
      </c>
      <c r="J97" s="14">
        <f t="shared" si="32"/>
        <v>8534</v>
      </c>
      <c r="K97" s="14">
        <f t="shared" si="32"/>
        <v>7977</v>
      </c>
      <c r="L97" s="14">
        <f t="shared" si="32"/>
        <v>10360</v>
      </c>
      <c r="M97" s="14">
        <f t="shared" si="32"/>
        <v>10567</v>
      </c>
      <c r="N97" s="14">
        <f t="shared" si="32"/>
        <v>10061</v>
      </c>
      <c r="O97" s="14">
        <f t="shared" si="32"/>
        <v>10287</v>
      </c>
      <c r="P97" s="14"/>
    </row>
    <row r="98" spans="1:21" ht="3.95" customHeight="1"/>
    <row r="99" spans="1:21">
      <c r="A99" s="27" t="s">
        <v>23</v>
      </c>
      <c r="C99" s="14"/>
      <c r="D99" s="14">
        <f t="shared" ref="D99:O99" si="33">D97-C97</f>
        <v>980</v>
      </c>
      <c r="E99" s="14">
        <f t="shared" si="33"/>
        <v>765</v>
      </c>
      <c r="F99" s="14">
        <f t="shared" si="33"/>
        <v>-1572</v>
      </c>
      <c r="G99" s="14">
        <f t="shared" si="33"/>
        <v>432</v>
      </c>
      <c r="H99" s="14">
        <f t="shared" si="33"/>
        <v>-963</v>
      </c>
      <c r="I99" s="14">
        <f t="shared" si="33"/>
        <v>-223</v>
      </c>
      <c r="J99" s="14">
        <f t="shared" si="33"/>
        <v>402</v>
      </c>
      <c r="K99" s="14">
        <f t="shared" si="33"/>
        <v>-557</v>
      </c>
      <c r="L99" s="14">
        <f t="shared" si="33"/>
        <v>2383</v>
      </c>
      <c r="M99" s="14">
        <f t="shared" si="33"/>
        <v>207</v>
      </c>
      <c r="N99" s="14">
        <f t="shared" si="33"/>
        <v>-506</v>
      </c>
      <c r="O99" s="14">
        <f t="shared" si="33"/>
        <v>226</v>
      </c>
      <c r="P99" s="14">
        <f>SUM(D99:O99)</f>
        <v>1574</v>
      </c>
      <c r="Q99" s="14">
        <f>SUM(Q78:Q96)</f>
        <v>-179</v>
      </c>
      <c r="R99" s="14">
        <f>P99-Q99</f>
        <v>1753</v>
      </c>
    </row>
    <row r="101" spans="1:21">
      <c r="A101" s="26" t="s">
        <v>44</v>
      </c>
      <c r="D101" s="14">
        <f>C111</f>
        <v>1119</v>
      </c>
      <c r="E101" s="14">
        <f t="shared" ref="E101:O101" si="34">D111</f>
        <v>637</v>
      </c>
      <c r="F101" s="14">
        <f t="shared" si="34"/>
        <v>5272</v>
      </c>
      <c r="G101" s="14">
        <f t="shared" si="34"/>
        <v>840</v>
      </c>
      <c r="H101" s="14">
        <f t="shared" si="34"/>
        <v>839</v>
      </c>
      <c r="I101" s="14">
        <f t="shared" si="34"/>
        <v>838</v>
      </c>
      <c r="J101" s="14">
        <f t="shared" si="34"/>
        <v>839</v>
      </c>
      <c r="K101" s="14">
        <f t="shared" si="34"/>
        <v>841</v>
      </c>
      <c r="L101" s="14">
        <f t="shared" si="34"/>
        <v>841</v>
      </c>
      <c r="M101" s="14">
        <f t="shared" si="34"/>
        <v>841</v>
      </c>
      <c r="N101" s="14">
        <f t="shared" si="34"/>
        <v>841</v>
      </c>
      <c r="O101" s="14">
        <f t="shared" si="34"/>
        <v>841</v>
      </c>
    </row>
    <row r="102" spans="1:21">
      <c r="A102" s="27" t="s">
        <v>54</v>
      </c>
      <c r="C102" s="17">
        <v>277</v>
      </c>
      <c r="D102" s="17">
        <v>-46</v>
      </c>
      <c r="E102" s="17">
        <v>-46</v>
      </c>
      <c r="F102" s="175">
        <f>-46-139</f>
        <v>-185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4">
        <f t="shared" ref="P102:P109" si="35">SUM(D102:O102)</f>
        <v>-277</v>
      </c>
      <c r="Q102" s="17">
        <f t="shared" ref="Q102:Q109" si="36">SUM(D102:J102)</f>
        <v>-277</v>
      </c>
      <c r="R102" s="14">
        <f t="shared" ref="R102:R109" si="37">P102-Q102</f>
        <v>0</v>
      </c>
      <c r="T102" s="17"/>
      <c r="U102" s="14"/>
    </row>
    <row r="103" spans="1:21">
      <c r="A103" s="27" t="s">
        <v>55</v>
      </c>
      <c r="C103" s="17">
        <v>463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4">
        <f t="shared" si="35"/>
        <v>0</v>
      </c>
      <c r="Q103" s="17">
        <f t="shared" si="36"/>
        <v>0</v>
      </c>
      <c r="R103" s="14">
        <f t="shared" si="37"/>
        <v>0</v>
      </c>
      <c r="T103" s="17"/>
      <c r="U103" s="14"/>
    </row>
    <row r="104" spans="1:21">
      <c r="A104" s="27" t="s">
        <v>493</v>
      </c>
      <c r="C104" s="17">
        <v>166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4">
        <f t="shared" si="35"/>
        <v>0</v>
      </c>
      <c r="Q104" s="17">
        <f t="shared" si="36"/>
        <v>0</v>
      </c>
      <c r="R104" s="14">
        <f t="shared" si="37"/>
        <v>0</v>
      </c>
      <c r="T104" s="17"/>
      <c r="U104" s="14"/>
    </row>
    <row r="105" spans="1:21">
      <c r="A105" s="27" t="s">
        <v>485</v>
      </c>
      <c r="C105" s="17">
        <v>81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4">
        <f t="shared" si="35"/>
        <v>0</v>
      </c>
      <c r="Q105" s="17">
        <f t="shared" si="36"/>
        <v>0</v>
      </c>
      <c r="R105" s="14">
        <f t="shared" si="37"/>
        <v>0</v>
      </c>
      <c r="T105" s="17"/>
      <c r="U105" s="14"/>
    </row>
    <row r="106" spans="1:21">
      <c r="A106" s="27" t="s">
        <v>486</v>
      </c>
      <c r="C106" s="17">
        <v>130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4">
        <f t="shared" si="35"/>
        <v>0</v>
      </c>
      <c r="Q106" s="17">
        <f t="shared" si="36"/>
        <v>0</v>
      </c>
      <c r="R106" s="14">
        <f t="shared" si="37"/>
        <v>0</v>
      </c>
      <c r="T106" s="17"/>
      <c r="U106" s="14"/>
    </row>
    <row r="107" spans="1:21">
      <c r="A107" s="27" t="s">
        <v>518</v>
      </c>
      <c r="B107" s="18"/>
      <c r="C107" s="17">
        <v>0</v>
      </c>
      <c r="D107" s="17">
        <v>-436</v>
      </c>
      <c r="E107" s="175">
        <v>4681</v>
      </c>
      <c r="F107" s="175">
        <v>-4245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4">
        <f t="shared" si="35"/>
        <v>0</v>
      </c>
      <c r="Q107" s="17">
        <f t="shared" si="36"/>
        <v>0</v>
      </c>
      <c r="R107" s="14">
        <f t="shared" si="37"/>
        <v>0</v>
      </c>
      <c r="T107" s="17"/>
      <c r="U107" s="14"/>
    </row>
    <row r="108" spans="1:21">
      <c r="A108" s="27" t="s">
        <v>32</v>
      </c>
      <c r="B108" s="18"/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4">
        <f t="shared" si="35"/>
        <v>0</v>
      </c>
      <c r="Q108" s="17">
        <f t="shared" si="36"/>
        <v>0</v>
      </c>
      <c r="R108" s="14">
        <f t="shared" si="37"/>
        <v>0</v>
      </c>
      <c r="T108" s="17"/>
      <c r="U108" s="14"/>
    </row>
    <row r="109" spans="1:21">
      <c r="A109" s="27" t="s">
        <v>22</v>
      </c>
      <c r="C109" s="25">
        <v>2</v>
      </c>
      <c r="D109" s="25">
        <v>0</v>
      </c>
      <c r="E109" s="25">
        <v>0</v>
      </c>
      <c r="F109" s="25">
        <v>-2</v>
      </c>
      <c r="G109" s="25">
        <v>-1</v>
      </c>
      <c r="H109" s="25">
        <v>-1</v>
      </c>
      <c r="I109" s="25">
        <v>1</v>
      </c>
      <c r="J109" s="25">
        <v>2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16">
        <f t="shared" si="35"/>
        <v>-1</v>
      </c>
      <c r="Q109" s="25">
        <f t="shared" si="36"/>
        <v>-1</v>
      </c>
      <c r="R109" s="16">
        <f t="shared" si="37"/>
        <v>0</v>
      </c>
      <c r="T109" s="17"/>
      <c r="U109" s="14"/>
    </row>
    <row r="110" spans="1:21" ht="3.95" customHeight="1"/>
    <row r="111" spans="1:21">
      <c r="A111" s="26" t="s">
        <v>56</v>
      </c>
      <c r="C111" s="14">
        <f>SUM(C101:C109)</f>
        <v>1119</v>
      </c>
      <c r="D111" s="14">
        <f t="shared" ref="D111:O111" si="38">SUM(D101:D109)</f>
        <v>637</v>
      </c>
      <c r="E111" s="14">
        <f t="shared" si="38"/>
        <v>5272</v>
      </c>
      <c r="F111" s="14">
        <f t="shared" si="38"/>
        <v>840</v>
      </c>
      <c r="G111" s="14">
        <f t="shared" si="38"/>
        <v>839</v>
      </c>
      <c r="H111" s="14">
        <f t="shared" si="38"/>
        <v>838</v>
      </c>
      <c r="I111" s="14">
        <f t="shared" si="38"/>
        <v>839</v>
      </c>
      <c r="J111" s="14">
        <f t="shared" si="38"/>
        <v>841</v>
      </c>
      <c r="K111" s="14">
        <f t="shared" si="38"/>
        <v>841</v>
      </c>
      <c r="L111" s="14">
        <f t="shared" si="38"/>
        <v>841</v>
      </c>
      <c r="M111" s="14">
        <f t="shared" si="38"/>
        <v>841</v>
      </c>
      <c r="N111" s="14">
        <f t="shared" si="38"/>
        <v>841</v>
      </c>
      <c r="O111" s="14">
        <f t="shared" si="38"/>
        <v>841</v>
      </c>
    </row>
    <row r="112" spans="1:21" ht="3.95" customHeight="1"/>
    <row r="113" spans="1:18">
      <c r="A113" s="27" t="s">
        <v>23</v>
      </c>
      <c r="D113" s="14">
        <f t="shared" ref="D113:O113" si="39">D111-C111</f>
        <v>-482</v>
      </c>
      <c r="E113" s="14">
        <f t="shared" si="39"/>
        <v>4635</v>
      </c>
      <c r="F113" s="14">
        <f t="shared" si="39"/>
        <v>-4432</v>
      </c>
      <c r="G113" s="14">
        <f t="shared" si="39"/>
        <v>-1</v>
      </c>
      <c r="H113" s="14">
        <f t="shared" si="39"/>
        <v>-1</v>
      </c>
      <c r="I113" s="14">
        <f t="shared" si="39"/>
        <v>1</v>
      </c>
      <c r="J113" s="14">
        <f t="shared" si="39"/>
        <v>2</v>
      </c>
      <c r="K113" s="14">
        <f t="shared" si="39"/>
        <v>0</v>
      </c>
      <c r="L113" s="14">
        <f t="shared" si="39"/>
        <v>0</v>
      </c>
      <c r="M113" s="14">
        <f t="shared" si="39"/>
        <v>0</v>
      </c>
      <c r="N113" s="14">
        <f t="shared" si="39"/>
        <v>0</v>
      </c>
      <c r="O113" s="14">
        <f t="shared" si="39"/>
        <v>0</v>
      </c>
      <c r="P113" s="14">
        <f>SUM(D113:O113)</f>
        <v>-278</v>
      </c>
      <c r="Q113" s="14">
        <f>SUM(Q102:Q110)</f>
        <v>-278</v>
      </c>
      <c r="R113" s="14">
        <f>P113-Q113</f>
        <v>0</v>
      </c>
    </row>
    <row r="115" spans="1:18">
      <c r="A115" s="26" t="s">
        <v>57</v>
      </c>
      <c r="D115" s="14">
        <f t="shared" ref="D115:O115" si="40">C123</f>
        <v>48163</v>
      </c>
      <c r="E115" s="14">
        <f t="shared" si="40"/>
        <v>48660</v>
      </c>
      <c r="F115" s="14">
        <f t="shared" si="40"/>
        <v>48961</v>
      </c>
      <c r="G115" s="14">
        <f t="shared" si="40"/>
        <v>48445</v>
      </c>
      <c r="H115" s="14">
        <f t="shared" si="40"/>
        <v>49702</v>
      </c>
      <c r="I115" s="14">
        <f t="shared" si="40"/>
        <v>49991</v>
      </c>
      <c r="J115" s="14">
        <f t="shared" si="40"/>
        <v>46599</v>
      </c>
      <c r="K115" s="14">
        <f t="shared" si="40"/>
        <v>46906</v>
      </c>
      <c r="L115" s="14">
        <f t="shared" si="40"/>
        <v>45148</v>
      </c>
      <c r="M115" s="14">
        <f t="shared" si="40"/>
        <v>44644</v>
      </c>
      <c r="N115" s="14">
        <f t="shared" si="40"/>
        <v>44941</v>
      </c>
      <c r="O115" s="14">
        <f t="shared" si="40"/>
        <v>45255</v>
      </c>
    </row>
    <row r="116" spans="1:18">
      <c r="A116" s="27" t="s">
        <v>488</v>
      </c>
      <c r="B116" s="18" t="s">
        <v>26</v>
      </c>
      <c r="D116" s="14">
        <f>[1]Source!D43</f>
        <v>525</v>
      </c>
      <c r="E116" s="14">
        <f>[1]Source!E43</f>
        <v>329</v>
      </c>
      <c r="F116" s="187">
        <f>[1]Source!F43-1</f>
        <v>312</v>
      </c>
      <c r="G116" s="187">
        <f>[1]Source!G43+1</f>
        <v>1285</v>
      </c>
      <c r="H116" s="187">
        <f>[1]Source!H43-1</f>
        <v>317</v>
      </c>
      <c r="I116" s="14">
        <f>[1]Source!I43</f>
        <v>436</v>
      </c>
      <c r="J116" s="14">
        <f>[1]Source!J43</f>
        <v>335</v>
      </c>
      <c r="K116" s="14">
        <f>[1]Source!K43</f>
        <v>270</v>
      </c>
      <c r="L116" s="14">
        <f>[1]Source!L43</f>
        <v>324</v>
      </c>
      <c r="M116" s="14">
        <f>[1]Source!M43</f>
        <v>325</v>
      </c>
      <c r="N116" s="14">
        <f>[1]Source!N43</f>
        <v>342</v>
      </c>
      <c r="O116" s="14">
        <f>[1]Source!O43</f>
        <v>16</v>
      </c>
      <c r="P116" s="14">
        <f t="shared" ref="P116:P121" si="41">SUM(D116:O116)</f>
        <v>4816</v>
      </c>
      <c r="Q116" s="17">
        <f t="shared" ref="Q116:Q121" si="42">SUM(D116:J116)</f>
        <v>3539</v>
      </c>
      <c r="R116" s="14">
        <f t="shared" ref="R116:R121" si="43">P116-Q116</f>
        <v>1277</v>
      </c>
    </row>
    <row r="117" spans="1:18">
      <c r="A117" s="27" t="s">
        <v>58</v>
      </c>
      <c r="D117" s="17">
        <v>0</v>
      </c>
      <c r="E117" s="17">
        <v>0</v>
      </c>
      <c r="F117" s="17">
        <v>-800</v>
      </c>
      <c r="G117" s="17">
        <v>0</v>
      </c>
      <c r="H117" s="17">
        <v>0</v>
      </c>
      <c r="I117" s="175">
        <f>-800-3000</f>
        <v>-3800</v>
      </c>
      <c r="J117" s="17">
        <v>0</v>
      </c>
      <c r="K117" s="17">
        <v>-2000</v>
      </c>
      <c r="L117" s="17">
        <v>-800</v>
      </c>
      <c r="M117" s="17">
        <v>0</v>
      </c>
      <c r="N117" s="17">
        <v>0</v>
      </c>
      <c r="O117" s="17">
        <v>-800</v>
      </c>
      <c r="P117" s="14">
        <f t="shared" si="41"/>
        <v>-8200</v>
      </c>
      <c r="Q117" s="17">
        <f t="shared" si="42"/>
        <v>-4600</v>
      </c>
      <c r="R117" s="14">
        <f t="shared" si="43"/>
        <v>-3600</v>
      </c>
    </row>
    <row r="118" spans="1:18">
      <c r="A118" s="27" t="s">
        <v>525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4">
        <f t="shared" si="41"/>
        <v>0</v>
      </c>
      <c r="Q118" s="17">
        <f t="shared" si="42"/>
        <v>0</v>
      </c>
      <c r="R118" s="14">
        <f t="shared" si="43"/>
        <v>0</v>
      </c>
    </row>
    <row r="119" spans="1:18">
      <c r="A119" s="27" t="s">
        <v>505</v>
      </c>
      <c r="C119" s="215">
        <f>21764-197-336</f>
        <v>21231</v>
      </c>
      <c r="D119" s="17">
        <v>-28</v>
      </c>
      <c r="E119" s="17">
        <v>-28</v>
      </c>
      <c r="F119" s="17">
        <v>-28</v>
      </c>
      <c r="G119" s="17">
        <v>-28</v>
      </c>
      <c r="H119" s="17">
        <v>-28</v>
      </c>
      <c r="I119" s="17">
        <v>-28</v>
      </c>
      <c r="J119" s="17">
        <v>-28</v>
      </c>
      <c r="K119" s="17">
        <v>-28</v>
      </c>
      <c r="L119" s="17">
        <v>-28</v>
      </c>
      <c r="M119" s="17">
        <v>-28</v>
      </c>
      <c r="N119" s="17">
        <v>-28</v>
      </c>
      <c r="O119" s="17">
        <v>-28</v>
      </c>
      <c r="P119" s="14">
        <f t="shared" si="41"/>
        <v>-336</v>
      </c>
      <c r="Q119" s="17">
        <f t="shared" si="42"/>
        <v>-196</v>
      </c>
      <c r="R119" s="14">
        <f t="shared" si="43"/>
        <v>-140</v>
      </c>
    </row>
    <row r="120" spans="1:18">
      <c r="A120" s="15" t="s">
        <v>32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4">
        <f t="shared" si="41"/>
        <v>0</v>
      </c>
      <c r="Q120" s="17">
        <f t="shared" si="42"/>
        <v>0</v>
      </c>
      <c r="R120" s="14">
        <f t="shared" si="43"/>
        <v>0</v>
      </c>
    </row>
    <row r="121" spans="1:18">
      <c r="A121" s="27" t="s">
        <v>22</v>
      </c>
      <c r="C121" s="25">
        <v>0</v>
      </c>
      <c r="D121" s="25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16">
        <f t="shared" si="41"/>
        <v>0</v>
      </c>
      <c r="Q121" s="25">
        <f t="shared" si="42"/>
        <v>0</v>
      </c>
      <c r="R121" s="16">
        <f t="shared" si="43"/>
        <v>0</v>
      </c>
    </row>
    <row r="122" spans="1:18" ht="3.95" customHeight="1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1:18">
      <c r="A123" s="26" t="s">
        <v>59</v>
      </c>
      <c r="C123" s="17">
        <v>48163</v>
      </c>
      <c r="D123" s="14">
        <f t="shared" ref="D123:O123" si="44">SUM(D115:D122)</f>
        <v>48660</v>
      </c>
      <c r="E123" s="14">
        <f t="shared" si="44"/>
        <v>48961</v>
      </c>
      <c r="F123" s="14">
        <f t="shared" si="44"/>
        <v>48445</v>
      </c>
      <c r="G123" s="14">
        <f t="shared" si="44"/>
        <v>49702</v>
      </c>
      <c r="H123" s="14">
        <f t="shared" si="44"/>
        <v>49991</v>
      </c>
      <c r="I123" s="14">
        <f t="shared" si="44"/>
        <v>46599</v>
      </c>
      <c r="J123" s="14">
        <f t="shared" si="44"/>
        <v>46906</v>
      </c>
      <c r="K123" s="14">
        <f t="shared" si="44"/>
        <v>45148</v>
      </c>
      <c r="L123" s="14">
        <f t="shared" si="44"/>
        <v>44644</v>
      </c>
      <c r="M123" s="14">
        <f t="shared" si="44"/>
        <v>44941</v>
      </c>
      <c r="N123" s="14">
        <f t="shared" si="44"/>
        <v>45255</v>
      </c>
      <c r="O123" s="14">
        <f t="shared" si="44"/>
        <v>44443</v>
      </c>
    </row>
    <row r="124" spans="1:18" ht="3.95" customHeight="1"/>
    <row r="125" spans="1:18">
      <c r="A125" s="27" t="s">
        <v>23</v>
      </c>
      <c r="D125" s="14">
        <f t="shared" ref="D125:O125" si="45">D123-C123</f>
        <v>497</v>
      </c>
      <c r="E125" s="14">
        <f t="shared" si="45"/>
        <v>301</v>
      </c>
      <c r="F125" s="14">
        <f t="shared" si="45"/>
        <v>-516</v>
      </c>
      <c r="G125" s="14">
        <f t="shared" si="45"/>
        <v>1257</v>
      </c>
      <c r="H125" s="14">
        <f t="shared" si="45"/>
        <v>289</v>
      </c>
      <c r="I125" s="14">
        <f t="shared" si="45"/>
        <v>-3392</v>
      </c>
      <c r="J125" s="14">
        <f t="shared" si="45"/>
        <v>307</v>
      </c>
      <c r="K125" s="14">
        <f t="shared" si="45"/>
        <v>-1758</v>
      </c>
      <c r="L125" s="14">
        <f t="shared" si="45"/>
        <v>-504</v>
      </c>
      <c r="M125" s="14">
        <f t="shared" si="45"/>
        <v>297</v>
      </c>
      <c r="N125" s="14">
        <f t="shared" si="45"/>
        <v>314</v>
      </c>
      <c r="O125" s="14">
        <f t="shared" si="45"/>
        <v>-812</v>
      </c>
      <c r="P125" s="14">
        <f>SUM(D125:O125)</f>
        <v>-3720</v>
      </c>
      <c r="Q125" s="14">
        <f>SUM(Q116:Q122)</f>
        <v>-1257</v>
      </c>
      <c r="R125" s="14">
        <f>P125-Q125</f>
        <v>-2463</v>
      </c>
    </row>
    <row r="126" spans="1:18" ht="12" customHeight="1"/>
    <row r="127" spans="1:18">
      <c r="A127" s="7" t="s">
        <v>60</v>
      </c>
      <c r="C127" s="14"/>
      <c r="D127" s="14">
        <f t="shared" ref="D127:O127" si="46">C132</f>
        <v>3728</v>
      </c>
      <c r="E127" s="14">
        <f t="shared" si="46"/>
        <v>3728</v>
      </c>
      <c r="F127" s="14">
        <f t="shared" si="46"/>
        <v>3728</v>
      </c>
      <c r="G127" s="14">
        <f t="shared" si="46"/>
        <v>3728</v>
      </c>
      <c r="H127" s="14">
        <f t="shared" si="46"/>
        <v>3728</v>
      </c>
      <c r="I127" s="14">
        <f t="shared" si="46"/>
        <v>3728</v>
      </c>
      <c r="J127" s="14">
        <f t="shared" si="46"/>
        <v>3728</v>
      </c>
      <c r="K127" s="14">
        <f t="shared" si="46"/>
        <v>3728</v>
      </c>
      <c r="L127" s="14">
        <f t="shared" si="46"/>
        <v>3728</v>
      </c>
      <c r="M127" s="14">
        <f t="shared" si="46"/>
        <v>3728</v>
      </c>
      <c r="N127" s="14">
        <f t="shared" si="46"/>
        <v>3728</v>
      </c>
      <c r="O127" s="14">
        <f t="shared" si="46"/>
        <v>3728</v>
      </c>
      <c r="P127" s="14"/>
    </row>
    <row r="128" spans="1:18">
      <c r="A128" s="27" t="s">
        <v>526</v>
      </c>
      <c r="C128" s="17">
        <v>3717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4">
        <f>SUM(D128:O128)</f>
        <v>0</v>
      </c>
      <c r="Q128" s="17">
        <f>SUM(D128:J128)</f>
        <v>0</v>
      </c>
      <c r="R128" s="14">
        <f>P128-Q128</f>
        <v>0</v>
      </c>
    </row>
    <row r="129" spans="1:18">
      <c r="A129" s="27" t="s">
        <v>107</v>
      </c>
      <c r="C129" s="17">
        <v>11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4">
        <f>SUM(D129:O129)</f>
        <v>0</v>
      </c>
      <c r="Q129" s="17">
        <f>SUM(D129:J129)</f>
        <v>0</v>
      </c>
      <c r="R129" s="14">
        <f>P129-Q129</f>
        <v>0</v>
      </c>
    </row>
    <row r="130" spans="1:18">
      <c r="A130" s="27" t="s">
        <v>22</v>
      </c>
      <c r="C130" s="25">
        <v>0</v>
      </c>
      <c r="D130" s="25">
        <v>0</v>
      </c>
      <c r="E130" s="25">
        <v>0</v>
      </c>
      <c r="F130" s="25">
        <v>0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16">
        <f>SUM(D130:O130)</f>
        <v>0</v>
      </c>
      <c r="Q130" s="25">
        <f>SUM(D130:J130)</f>
        <v>0</v>
      </c>
      <c r="R130" s="16">
        <f>P130-Q130</f>
        <v>0</v>
      </c>
    </row>
    <row r="131" spans="1:18" ht="3.95" customHeight="1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1:18">
      <c r="A132" s="26" t="s">
        <v>61</v>
      </c>
      <c r="C132" s="14">
        <f t="shared" ref="C132:O132" si="47">SUM(C127:C131)</f>
        <v>3728</v>
      </c>
      <c r="D132" s="14">
        <f t="shared" si="47"/>
        <v>3728</v>
      </c>
      <c r="E132" s="14">
        <f t="shared" si="47"/>
        <v>3728</v>
      </c>
      <c r="F132" s="14">
        <f t="shared" si="47"/>
        <v>3728</v>
      </c>
      <c r="G132" s="14">
        <f t="shared" si="47"/>
        <v>3728</v>
      </c>
      <c r="H132" s="14">
        <f t="shared" si="47"/>
        <v>3728</v>
      </c>
      <c r="I132" s="14">
        <f t="shared" si="47"/>
        <v>3728</v>
      </c>
      <c r="J132" s="14">
        <f t="shared" si="47"/>
        <v>3728</v>
      </c>
      <c r="K132" s="14">
        <f t="shared" si="47"/>
        <v>3728</v>
      </c>
      <c r="L132" s="14">
        <f t="shared" si="47"/>
        <v>3728</v>
      </c>
      <c r="M132" s="14">
        <f t="shared" si="47"/>
        <v>3728</v>
      </c>
      <c r="N132" s="14">
        <f t="shared" si="47"/>
        <v>3728</v>
      </c>
      <c r="O132" s="14">
        <f t="shared" si="47"/>
        <v>3728</v>
      </c>
      <c r="P132" s="14"/>
    </row>
    <row r="133" spans="1:18" ht="3.95" customHeight="1"/>
    <row r="134" spans="1:18">
      <c r="A134" s="27" t="s">
        <v>23</v>
      </c>
      <c r="C134" s="14"/>
      <c r="D134" s="14">
        <f t="shared" ref="D134:O134" si="48">D132-C132</f>
        <v>0</v>
      </c>
      <c r="E134" s="14">
        <f t="shared" si="48"/>
        <v>0</v>
      </c>
      <c r="F134" s="14">
        <f t="shared" si="48"/>
        <v>0</v>
      </c>
      <c r="G134" s="14">
        <f t="shared" si="48"/>
        <v>0</v>
      </c>
      <c r="H134" s="14">
        <f t="shared" si="48"/>
        <v>0</v>
      </c>
      <c r="I134" s="14">
        <f t="shared" si="48"/>
        <v>0</v>
      </c>
      <c r="J134" s="14">
        <f t="shared" si="48"/>
        <v>0</v>
      </c>
      <c r="K134" s="14">
        <f t="shared" si="48"/>
        <v>0</v>
      </c>
      <c r="L134" s="14">
        <f t="shared" si="48"/>
        <v>0</v>
      </c>
      <c r="M134" s="14">
        <f t="shared" si="48"/>
        <v>0</v>
      </c>
      <c r="N134" s="14">
        <f t="shared" si="48"/>
        <v>0</v>
      </c>
      <c r="O134" s="14">
        <f t="shared" si="48"/>
        <v>0</v>
      </c>
      <c r="P134" s="14">
        <f>SUM(D134:O134)</f>
        <v>0</v>
      </c>
      <c r="Q134" s="14">
        <f>SUM(Q130:Q131)</f>
        <v>0</v>
      </c>
      <c r="R134" s="14">
        <f>P134-Q134</f>
        <v>0</v>
      </c>
    </row>
    <row r="135" spans="1:18" ht="8.1" customHeight="1"/>
    <row r="137" spans="1:18">
      <c r="A137" s="26" t="s">
        <v>611</v>
      </c>
      <c r="C137" s="14"/>
      <c r="D137" s="14">
        <f t="shared" ref="D137:O137" si="49">C144</f>
        <v>28904</v>
      </c>
      <c r="E137" s="14">
        <f t="shared" si="49"/>
        <v>34674</v>
      </c>
      <c r="F137" s="14">
        <f t="shared" si="49"/>
        <v>40965</v>
      </c>
      <c r="G137" s="14">
        <f t="shared" si="49"/>
        <v>38317</v>
      </c>
      <c r="H137" s="14">
        <f t="shared" si="49"/>
        <v>39856</v>
      </c>
      <c r="I137" s="14">
        <f t="shared" si="49"/>
        <v>27978</v>
      </c>
      <c r="J137" s="14">
        <f t="shared" si="49"/>
        <v>14302</v>
      </c>
      <c r="K137" s="14">
        <f t="shared" si="49"/>
        <v>12478</v>
      </c>
      <c r="L137" s="14">
        <f t="shared" si="49"/>
        <v>12478</v>
      </c>
      <c r="M137" s="14">
        <f t="shared" si="49"/>
        <v>12478</v>
      </c>
      <c r="N137" s="14">
        <f t="shared" si="49"/>
        <v>12478</v>
      </c>
      <c r="O137" s="14">
        <f t="shared" si="49"/>
        <v>12478</v>
      </c>
      <c r="P137" s="14"/>
    </row>
    <row r="138" spans="1:18">
      <c r="A138" s="27" t="s">
        <v>560</v>
      </c>
      <c r="C138" s="17">
        <f>14700+7907</f>
        <v>22607</v>
      </c>
      <c r="D138" s="17">
        <v>4821</v>
      </c>
      <c r="E138" s="17">
        <v>6499</v>
      </c>
      <c r="F138" s="225">
        <f>-2253+15</f>
        <v>-2238</v>
      </c>
      <c r="G138" s="17">
        <f>1724</f>
        <v>1724</v>
      </c>
      <c r="H138" s="17">
        <v>-11737</v>
      </c>
      <c r="I138" s="17">
        <v>-13611</v>
      </c>
      <c r="J138" s="17">
        <v>-1824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4">
        <f>SUM(D138:O138)</f>
        <v>-16366</v>
      </c>
      <c r="Q138" s="17">
        <f>SUM(D138:J138)</f>
        <v>-16366</v>
      </c>
      <c r="R138" s="14">
        <f>P138-Q138</f>
        <v>0</v>
      </c>
    </row>
    <row r="139" spans="1:18">
      <c r="A139" s="27" t="s">
        <v>561</v>
      </c>
      <c r="C139" s="17">
        <v>6297</v>
      </c>
      <c r="D139" s="17">
        <v>-66</v>
      </c>
      <c r="E139" s="17">
        <v>-175</v>
      </c>
      <c r="F139" s="175">
        <f>-65+2</f>
        <v>-63</v>
      </c>
      <c r="G139" s="175">
        <f>-62-3</f>
        <v>-65</v>
      </c>
      <c r="H139" s="17">
        <f>-65+(-61-15)</f>
        <v>-141</v>
      </c>
      <c r="I139" s="17">
        <v>-65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4">
        <f>SUM(D139:O139)</f>
        <v>-575</v>
      </c>
      <c r="Q139" s="17">
        <f>SUM(D139:J139)</f>
        <v>-575</v>
      </c>
      <c r="R139" s="14">
        <f>P139-Q139</f>
        <v>0</v>
      </c>
    </row>
    <row r="140" spans="1:18">
      <c r="A140" s="27" t="s">
        <v>593</v>
      </c>
      <c r="C140" s="17">
        <v>0</v>
      </c>
      <c r="D140" s="17">
        <v>466</v>
      </c>
      <c r="E140" s="17">
        <v>-133</v>
      </c>
      <c r="F140" s="225">
        <f>-333-15</f>
        <v>-348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4">
        <f>SUM(D140:O140)</f>
        <v>-15</v>
      </c>
      <c r="Q140" s="17">
        <f>SUM(D140:J140)</f>
        <v>-15</v>
      </c>
      <c r="R140" s="14">
        <f>P140-Q140</f>
        <v>0</v>
      </c>
    </row>
    <row r="141" spans="1:18">
      <c r="A141" s="27" t="s">
        <v>588</v>
      </c>
      <c r="C141" s="17">
        <v>0</v>
      </c>
      <c r="D141" s="17">
        <v>549</v>
      </c>
      <c r="E141" s="17">
        <v>100</v>
      </c>
      <c r="F141" s="17">
        <v>1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4">
        <f>SUM(D141:O141)</f>
        <v>650</v>
      </c>
      <c r="Q141" s="17">
        <f>SUM(D141:J141)</f>
        <v>650</v>
      </c>
      <c r="R141" s="14">
        <f>P141-Q141</f>
        <v>0</v>
      </c>
    </row>
    <row r="142" spans="1:18">
      <c r="A142" s="27" t="s">
        <v>22</v>
      </c>
      <c r="C142" s="25">
        <v>0</v>
      </c>
      <c r="D142" s="25">
        <v>0</v>
      </c>
      <c r="E142" s="25">
        <v>0</v>
      </c>
      <c r="F142" s="25">
        <v>0</v>
      </c>
      <c r="G142" s="25">
        <f>-61-59</f>
        <v>-120</v>
      </c>
      <c r="H142" s="25">
        <v>0</v>
      </c>
      <c r="I142" s="25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16">
        <f>SUM(D142:O142)</f>
        <v>-120</v>
      </c>
      <c r="Q142" s="25">
        <f>SUM(D142:J142)</f>
        <v>-120</v>
      </c>
      <c r="R142" s="16">
        <f>P142-Q142</f>
        <v>0</v>
      </c>
    </row>
    <row r="143" spans="1:18" ht="3.95" customHeight="1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spans="1:18">
      <c r="A144" s="26" t="s">
        <v>612</v>
      </c>
      <c r="C144" s="14">
        <f t="shared" ref="C144:O144" si="50">SUM(C137:C143)</f>
        <v>28904</v>
      </c>
      <c r="D144" s="14">
        <f t="shared" si="50"/>
        <v>34674</v>
      </c>
      <c r="E144" s="14">
        <f t="shared" si="50"/>
        <v>40965</v>
      </c>
      <c r="F144" s="14">
        <f t="shared" si="50"/>
        <v>38317</v>
      </c>
      <c r="G144" s="14">
        <f t="shared" si="50"/>
        <v>39856</v>
      </c>
      <c r="H144" s="14">
        <f t="shared" si="50"/>
        <v>27978</v>
      </c>
      <c r="I144" s="14">
        <f t="shared" si="50"/>
        <v>14302</v>
      </c>
      <c r="J144" s="14">
        <f t="shared" si="50"/>
        <v>12478</v>
      </c>
      <c r="K144" s="14">
        <f t="shared" si="50"/>
        <v>12478</v>
      </c>
      <c r="L144" s="14">
        <f t="shared" si="50"/>
        <v>12478</v>
      </c>
      <c r="M144" s="14">
        <f t="shared" si="50"/>
        <v>12478</v>
      </c>
      <c r="N144" s="14">
        <f t="shared" si="50"/>
        <v>12478</v>
      </c>
      <c r="O144" s="14">
        <f t="shared" si="50"/>
        <v>12478</v>
      </c>
      <c r="P144" s="14"/>
    </row>
    <row r="145" spans="1:18" ht="3.95" customHeight="1"/>
    <row r="146" spans="1:18">
      <c r="A146" s="27" t="s">
        <v>23</v>
      </c>
      <c r="C146" s="14"/>
      <c r="D146" s="14">
        <f t="shared" ref="D146:O146" si="51">D144-C144</f>
        <v>5770</v>
      </c>
      <c r="E146" s="14">
        <f t="shared" si="51"/>
        <v>6291</v>
      </c>
      <c r="F146" s="14">
        <f t="shared" si="51"/>
        <v>-2648</v>
      </c>
      <c r="G146" s="14">
        <f t="shared" si="51"/>
        <v>1539</v>
      </c>
      <c r="H146" s="14">
        <f t="shared" si="51"/>
        <v>-11878</v>
      </c>
      <c r="I146" s="14">
        <f t="shared" si="51"/>
        <v>-13676</v>
      </c>
      <c r="J146" s="14">
        <f t="shared" si="51"/>
        <v>-1824</v>
      </c>
      <c r="K146" s="14">
        <f t="shared" si="51"/>
        <v>0</v>
      </c>
      <c r="L146" s="14">
        <f t="shared" si="51"/>
        <v>0</v>
      </c>
      <c r="M146" s="14">
        <f t="shared" si="51"/>
        <v>0</v>
      </c>
      <c r="N146" s="14">
        <f t="shared" si="51"/>
        <v>0</v>
      </c>
      <c r="O146" s="14">
        <f t="shared" si="51"/>
        <v>0</v>
      </c>
      <c r="P146" s="14">
        <f>SUM(D146:O146)</f>
        <v>-16426</v>
      </c>
      <c r="Q146" s="14">
        <f>SUM(Q142:Q143)</f>
        <v>-120</v>
      </c>
      <c r="R146" s="14">
        <f>P146-Q146</f>
        <v>-16306</v>
      </c>
    </row>
    <row r="148" spans="1:18">
      <c r="A148" s="26" t="s">
        <v>62</v>
      </c>
      <c r="C148" s="14"/>
      <c r="D148" s="14">
        <f t="shared" ref="D148:O148" si="52">C161</f>
        <v>2743864</v>
      </c>
      <c r="E148" s="14">
        <f t="shared" si="52"/>
        <v>2789700</v>
      </c>
      <c r="F148" s="14">
        <f t="shared" si="52"/>
        <v>2799985</v>
      </c>
      <c r="G148" s="14">
        <f t="shared" si="52"/>
        <v>2802242</v>
      </c>
      <c r="H148" s="14">
        <f t="shared" si="52"/>
        <v>2797139</v>
      </c>
      <c r="I148" s="14">
        <f t="shared" si="52"/>
        <v>2796071</v>
      </c>
      <c r="J148" s="14">
        <f t="shared" si="52"/>
        <v>2790132</v>
      </c>
      <c r="K148" s="14">
        <f t="shared" si="52"/>
        <v>2774979</v>
      </c>
      <c r="L148" s="14">
        <f t="shared" si="52"/>
        <v>2783475</v>
      </c>
      <c r="M148" s="14">
        <f t="shared" si="52"/>
        <v>2794875</v>
      </c>
      <c r="N148" s="14">
        <f t="shared" si="52"/>
        <v>2803836</v>
      </c>
      <c r="O148" s="14">
        <f t="shared" si="52"/>
        <v>2812795</v>
      </c>
      <c r="P148" s="14"/>
    </row>
    <row r="149" spans="1:18">
      <c r="A149" s="27" t="s">
        <v>507</v>
      </c>
      <c r="C149" s="17"/>
      <c r="D149" s="17">
        <v>2282</v>
      </c>
      <c r="E149" s="17">
        <v>-861</v>
      </c>
      <c r="F149" s="17">
        <v>3798</v>
      </c>
      <c r="G149" s="17">
        <v>4249</v>
      </c>
      <c r="H149" s="17">
        <v>3726</v>
      </c>
      <c r="I149" s="17">
        <v>932</v>
      </c>
      <c r="J149" s="17">
        <v>5769</v>
      </c>
      <c r="K149" s="175">
        <f>7300+218+3000</f>
        <v>10518</v>
      </c>
      <c r="L149" s="17">
        <f>8400+2000+2000-1000</f>
        <v>11400</v>
      </c>
      <c r="M149" s="17">
        <f>4100+4861+2000+2000+2000-2000</f>
        <v>12961</v>
      </c>
      <c r="N149" s="17">
        <f>3300+1602+4051+1275+2000+2731-2000</f>
        <v>12959</v>
      </c>
      <c r="O149" s="17">
        <f>3400+2000+700+1168-700</f>
        <v>6568</v>
      </c>
      <c r="P149" s="14">
        <f t="shared" ref="P149:P159" si="53">SUM(D149:O149)</f>
        <v>74301</v>
      </c>
      <c r="Q149" s="17">
        <f t="shared" ref="Q149:Q159" si="54">SUM(D149:J149)</f>
        <v>19895</v>
      </c>
      <c r="R149" s="14">
        <f t="shared" ref="R149:R159" si="55">P149-Q149</f>
        <v>54406</v>
      </c>
    </row>
    <row r="150" spans="1:18">
      <c r="A150" s="27" t="s">
        <v>506</v>
      </c>
      <c r="C150" s="17">
        <v>0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14">
        <f t="shared" si="53"/>
        <v>0</v>
      </c>
      <c r="Q150" s="17">
        <f t="shared" si="54"/>
        <v>0</v>
      </c>
      <c r="R150" s="14">
        <f t="shared" si="55"/>
        <v>0</v>
      </c>
    </row>
    <row r="151" spans="1:18">
      <c r="A151" s="27" t="s">
        <v>63</v>
      </c>
      <c r="C151" s="17">
        <v>2002</v>
      </c>
      <c r="D151" s="17">
        <v>-2002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2002</v>
      </c>
      <c r="P151" s="14">
        <f t="shared" si="53"/>
        <v>0</v>
      </c>
      <c r="Q151" s="17">
        <f t="shared" si="54"/>
        <v>-2002</v>
      </c>
      <c r="R151" s="14">
        <f t="shared" si="55"/>
        <v>2002</v>
      </c>
    </row>
    <row r="152" spans="1:18">
      <c r="A152" s="27" t="s">
        <v>539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4">
        <f t="shared" si="53"/>
        <v>0</v>
      </c>
      <c r="Q152" s="17">
        <f t="shared" si="54"/>
        <v>0</v>
      </c>
      <c r="R152" s="14">
        <f t="shared" si="55"/>
        <v>0</v>
      </c>
    </row>
    <row r="153" spans="1:18">
      <c r="A153" s="15" t="s">
        <v>64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4">
        <f t="shared" si="53"/>
        <v>0</v>
      </c>
      <c r="Q153" s="17">
        <f t="shared" si="54"/>
        <v>0</v>
      </c>
      <c r="R153" s="14">
        <f t="shared" si="55"/>
        <v>0</v>
      </c>
    </row>
    <row r="154" spans="1:18">
      <c r="A154" s="27" t="s">
        <v>527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4">
        <f t="shared" si="53"/>
        <v>0</v>
      </c>
      <c r="Q154" s="17">
        <f t="shared" si="54"/>
        <v>0</v>
      </c>
      <c r="R154" s="14">
        <f t="shared" si="55"/>
        <v>0</v>
      </c>
    </row>
    <row r="155" spans="1:18">
      <c r="A155" s="27" t="s">
        <v>528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4">
        <f t="shared" si="53"/>
        <v>0</v>
      </c>
      <c r="Q155" s="17">
        <f t="shared" si="54"/>
        <v>0</v>
      </c>
      <c r="R155" s="14">
        <f t="shared" si="55"/>
        <v>0</v>
      </c>
    </row>
    <row r="156" spans="1:18">
      <c r="A156" s="27" t="s">
        <v>65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4">
        <f t="shared" si="53"/>
        <v>0</v>
      </c>
      <c r="Q156" s="17">
        <f t="shared" si="54"/>
        <v>0</v>
      </c>
      <c r="R156" s="14">
        <f t="shared" si="55"/>
        <v>0</v>
      </c>
    </row>
    <row r="157" spans="1:18">
      <c r="A157" s="27" t="s">
        <v>543</v>
      </c>
      <c r="C157" s="17">
        <v>-41594</v>
      </c>
      <c r="D157" s="17">
        <v>45815</v>
      </c>
      <c r="E157" s="175">
        <f>11184-38</f>
        <v>11146</v>
      </c>
      <c r="F157" s="17">
        <f>-1541</f>
        <v>-1541</v>
      </c>
      <c r="G157" s="17">
        <v>-9352</v>
      </c>
      <c r="H157" s="216">
        <v>-4794</v>
      </c>
      <c r="I157" s="216">
        <v>-4071</v>
      </c>
      <c r="J157" s="216">
        <v>-3220</v>
      </c>
      <c r="K157" s="216">
        <v>-2022</v>
      </c>
      <c r="L157" s="17">
        <v>0</v>
      </c>
      <c r="M157" s="17">
        <v>-4000</v>
      </c>
      <c r="N157" s="17">
        <v>-4000</v>
      </c>
      <c r="O157" s="17">
        <v>-4000</v>
      </c>
      <c r="P157" s="14">
        <f t="shared" si="53"/>
        <v>19961</v>
      </c>
      <c r="Q157" s="17">
        <f t="shared" si="54"/>
        <v>33983</v>
      </c>
      <c r="R157" s="14">
        <f t="shared" si="55"/>
        <v>-14022</v>
      </c>
    </row>
    <row r="158" spans="1:18">
      <c r="A158" s="27" t="s">
        <v>529</v>
      </c>
      <c r="D158" s="17">
        <v>-259</v>
      </c>
      <c r="E158" s="17">
        <v>0</v>
      </c>
      <c r="F158" s="17">
        <v>0</v>
      </c>
      <c r="G158" s="17">
        <v>0</v>
      </c>
      <c r="H158" s="17">
        <v>0</v>
      </c>
      <c r="I158" s="17">
        <v>-2800</v>
      </c>
      <c r="J158" s="17">
        <v>-17702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4">
        <f t="shared" si="53"/>
        <v>-20761</v>
      </c>
      <c r="Q158" s="17">
        <f t="shared" si="54"/>
        <v>-20761</v>
      </c>
      <c r="R158" s="14">
        <f t="shared" si="55"/>
        <v>0</v>
      </c>
    </row>
    <row r="159" spans="1:18">
      <c r="A159" s="27" t="s">
        <v>22</v>
      </c>
      <c r="C159" s="25">
        <v>0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16">
        <f t="shared" si="53"/>
        <v>0</v>
      </c>
      <c r="Q159" s="25">
        <f t="shared" si="54"/>
        <v>0</v>
      </c>
      <c r="R159" s="16">
        <f t="shared" si="55"/>
        <v>0</v>
      </c>
    </row>
    <row r="160" spans="1:18" ht="3.95" customHeight="1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1:18">
      <c r="A161" s="26" t="s">
        <v>66</v>
      </c>
      <c r="C161" s="17">
        <v>2743864</v>
      </c>
      <c r="D161" s="14">
        <f t="shared" ref="D161:O161" si="56">SUM(D148:D160)</f>
        <v>2789700</v>
      </c>
      <c r="E161" s="14">
        <f t="shared" si="56"/>
        <v>2799985</v>
      </c>
      <c r="F161" s="14">
        <f t="shared" si="56"/>
        <v>2802242</v>
      </c>
      <c r="G161" s="14">
        <f t="shared" si="56"/>
        <v>2797139</v>
      </c>
      <c r="H161" s="14">
        <f t="shared" si="56"/>
        <v>2796071</v>
      </c>
      <c r="I161" s="14">
        <f t="shared" si="56"/>
        <v>2790132</v>
      </c>
      <c r="J161" s="14">
        <f t="shared" si="56"/>
        <v>2774979</v>
      </c>
      <c r="K161" s="14">
        <f t="shared" si="56"/>
        <v>2783475</v>
      </c>
      <c r="L161" s="14">
        <f t="shared" si="56"/>
        <v>2794875</v>
      </c>
      <c r="M161" s="14">
        <f t="shared" si="56"/>
        <v>2803836</v>
      </c>
      <c r="N161" s="14">
        <f t="shared" si="56"/>
        <v>2812795</v>
      </c>
      <c r="O161" s="14">
        <f t="shared" si="56"/>
        <v>2817365</v>
      </c>
      <c r="P161" s="14"/>
    </row>
    <row r="162" spans="1:18" ht="3.95" customHeight="1"/>
    <row r="163" spans="1:18">
      <c r="A163" s="27" t="s">
        <v>23</v>
      </c>
      <c r="C163" s="14"/>
      <c r="D163" s="14">
        <f t="shared" ref="D163:O163" si="57">D161-C161</f>
        <v>45836</v>
      </c>
      <c r="E163" s="14">
        <f t="shared" si="57"/>
        <v>10285</v>
      </c>
      <c r="F163" s="14">
        <f t="shared" si="57"/>
        <v>2257</v>
      </c>
      <c r="G163" s="14">
        <f t="shared" si="57"/>
        <v>-5103</v>
      </c>
      <c r="H163" s="14">
        <f t="shared" si="57"/>
        <v>-1068</v>
      </c>
      <c r="I163" s="14">
        <f t="shared" si="57"/>
        <v>-5939</v>
      </c>
      <c r="J163" s="14">
        <f t="shared" si="57"/>
        <v>-15153</v>
      </c>
      <c r="K163" s="14">
        <f t="shared" si="57"/>
        <v>8496</v>
      </c>
      <c r="L163" s="14">
        <f t="shared" si="57"/>
        <v>11400</v>
      </c>
      <c r="M163" s="14">
        <f t="shared" si="57"/>
        <v>8961</v>
      </c>
      <c r="N163" s="14">
        <f t="shared" si="57"/>
        <v>8959</v>
      </c>
      <c r="O163" s="14">
        <f t="shared" si="57"/>
        <v>4570</v>
      </c>
      <c r="P163" s="14">
        <f>SUM(D163:O163)</f>
        <v>73501</v>
      </c>
      <c r="Q163" s="14">
        <f>SUM(Q149:Q160)</f>
        <v>31115</v>
      </c>
      <c r="R163" s="14">
        <f>P163-Q163</f>
        <v>42386</v>
      </c>
    </row>
    <row r="165" spans="1:18">
      <c r="A165" s="26" t="s">
        <v>67</v>
      </c>
      <c r="C165" s="14"/>
      <c r="D165" s="14">
        <f t="shared" ref="D165:O165" si="58">C176</f>
        <v>1442835</v>
      </c>
      <c r="E165" s="14">
        <f t="shared" si="58"/>
        <v>1446637</v>
      </c>
      <c r="F165" s="14">
        <f t="shared" si="58"/>
        <v>1450495</v>
      </c>
      <c r="G165" s="14">
        <f t="shared" si="58"/>
        <v>1454095</v>
      </c>
      <c r="H165" s="14">
        <f t="shared" si="58"/>
        <v>1457697</v>
      </c>
      <c r="I165" s="14">
        <f t="shared" si="58"/>
        <v>1463022</v>
      </c>
      <c r="J165" s="14">
        <f t="shared" si="58"/>
        <v>1464768</v>
      </c>
      <c r="K165" s="14">
        <f t="shared" si="58"/>
        <v>1450869</v>
      </c>
      <c r="L165" s="14">
        <f t="shared" si="58"/>
        <v>1454669</v>
      </c>
      <c r="M165" s="14">
        <f t="shared" si="58"/>
        <v>1458514</v>
      </c>
      <c r="N165" s="14">
        <f t="shared" si="58"/>
        <v>1463659</v>
      </c>
      <c r="O165" s="14">
        <f t="shared" si="58"/>
        <v>1467554</v>
      </c>
      <c r="P165" s="14"/>
    </row>
    <row r="166" spans="1:18">
      <c r="A166" s="15" t="s">
        <v>68</v>
      </c>
      <c r="B166" s="18" t="s">
        <v>26</v>
      </c>
      <c r="C166" s="14"/>
      <c r="D166" s="14">
        <f>[1]Source!D37</f>
        <v>2731</v>
      </c>
      <c r="E166" s="14">
        <f>[1]Source!E37</f>
        <v>2675</v>
      </c>
      <c r="F166" s="14">
        <f>[1]Source!F37</f>
        <v>2871</v>
      </c>
      <c r="G166" s="187">
        <f>[1]Source!G37-1</f>
        <v>2719</v>
      </c>
      <c r="H166" s="14">
        <f>[1]Source!H37</f>
        <v>2665</v>
      </c>
      <c r="I166" s="14">
        <f>[1]Source!I37</f>
        <v>2909</v>
      </c>
      <c r="J166" s="141">
        <f>[1]Source!J37</f>
        <v>2761</v>
      </c>
      <c r="K166" s="14">
        <f>[1]Source!K37</f>
        <v>2765</v>
      </c>
      <c r="L166" s="14">
        <f>[1]Source!L37</f>
        <v>2775</v>
      </c>
      <c r="M166" s="14">
        <f>[1]Source!M37</f>
        <v>4076</v>
      </c>
      <c r="N166" s="14">
        <f>[1]Source!N37</f>
        <v>3317</v>
      </c>
      <c r="O166" s="14">
        <f>[1]Source!O37</f>
        <v>3368</v>
      </c>
      <c r="P166" s="14">
        <f t="shared" ref="P166:P174" si="59">SUM(D166:O166)</f>
        <v>35632</v>
      </c>
      <c r="Q166" s="17">
        <f t="shared" ref="Q166:Q174" si="60">SUM(D166:J166)</f>
        <v>19331</v>
      </c>
      <c r="R166" s="14">
        <f t="shared" ref="R166:R174" si="61">P166-Q166</f>
        <v>16301</v>
      </c>
    </row>
    <row r="167" spans="1:18">
      <c r="A167" s="15" t="s">
        <v>69</v>
      </c>
      <c r="B167" s="18" t="s">
        <v>26</v>
      </c>
      <c r="C167" s="14"/>
      <c r="D167" s="186">
        <f>-[1]Source!D38+D119</f>
        <v>1082</v>
      </c>
      <c r="E167" s="186">
        <f>-[1]Source!E38+E119</f>
        <v>1150</v>
      </c>
      <c r="F167" s="186">
        <f>-[1]Source!F38+F119</f>
        <v>1001</v>
      </c>
      <c r="G167" s="186">
        <f>-[1]Source!G38+G119</f>
        <v>1063</v>
      </c>
      <c r="H167" s="186">
        <f>-[1]Source!H38+H119</f>
        <v>1062</v>
      </c>
      <c r="I167" s="186">
        <f>-[1]Source!I38+I119</f>
        <v>1062</v>
      </c>
      <c r="J167" s="186">
        <f>-[1]Source!J38+J119</f>
        <v>1062</v>
      </c>
      <c r="K167" s="186">
        <f>-[1]Source!K38+K119</f>
        <v>1062</v>
      </c>
      <c r="L167" s="186">
        <f>-[1]Source!L38+L119</f>
        <v>1097</v>
      </c>
      <c r="M167" s="186">
        <f>-[1]Source!M38+M119</f>
        <v>1096</v>
      </c>
      <c r="N167" s="186">
        <f>-[1]Source!N38+N119</f>
        <v>605</v>
      </c>
      <c r="O167" s="186">
        <f>-[1]Source!O38+O119</f>
        <v>604</v>
      </c>
      <c r="P167" s="14">
        <f t="shared" si="59"/>
        <v>11946</v>
      </c>
      <c r="Q167" s="17">
        <f t="shared" si="60"/>
        <v>7482</v>
      </c>
      <c r="R167" s="14">
        <f t="shared" si="61"/>
        <v>4464</v>
      </c>
    </row>
    <row r="168" spans="1:18">
      <c r="A168" s="27" t="s">
        <v>555</v>
      </c>
      <c r="C168" s="14"/>
      <c r="D168" s="17">
        <v>4</v>
      </c>
      <c r="E168" s="17">
        <v>11</v>
      </c>
      <c r="F168" s="17">
        <v>-247</v>
      </c>
      <c r="G168" s="17">
        <v>-108</v>
      </c>
      <c r="H168" s="17">
        <f>1508+117</f>
        <v>1625</v>
      </c>
      <c r="I168" s="17">
        <v>-2198</v>
      </c>
      <c r="J168" s="17">
        <v>8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4">
        <f t="shared" si="59"/>
        <v>-905</v>
      </c>
      <c r="Q168" s="17">
        <f t="shared" si="60"/>
        <v>-905</v>
      </c>
      <c r="R168" s="14">
        <f t="shared" si="61"/>
        <v>0</v>
      </c>
    </row>
    <row r="169" spans="1:18">
      <c r="A169" s="27" t="s">
        <v>556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4">
        <f t="shared" si="59"/>
        <v>0</v>
      </c>
      <c r="Q169" s="17">
        <f t="shared" si="60"/>
        <v>0</v>
      </c>
      <c r="R169" s="14">
        <f t="shared" si="61"/>
        <v>0</v>
      </c>
    </row>
    <row r="170" spans="1:18">
      <c r="A170" s="27" t="s">
        <v>508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7">
        <v>0</v>
      </c>
      <c r="P170" s="14">
        <f t="shared" si="59"/>
        <v>0</v>
      </c>
      <c r="Q170" s="17">
        <f t="shared" si="60"/>
        <v>0</v>
      </c>
      <c r="R170" s="14">
        <f t="shared" si="61"/>
        <v>0</v>
      </c>
    </row>
    <row r="171" spans="1:18">
      <c r="A171" s="27" t="s">
        <v>519</v>
      </c>
      <c r="D171" s="186">
        <f>D156+D228</f>
        <v>-23</v>
      </c>
      <c r="E171" s="186">
        <f t="shared" ref="E171:O171" si="62">E156+E228</f>
        <v>22</v>
      </c>
      <c r="F171" s="186">
        <f t="shared" si="62"/>
        <v>-25</v>
      </c>
      <c r="G171" s="186">
        <f t="shared" si="62"/>
        <v>-72</v>
      </c>
      <c r="H171" s="186">
        <f t="shared" si="62"/>
        <v>-27</v>
      </c>
      <c r="I171" s="186">
        <f t="shared" si="62"/>
        <v>-27</v>
      </c>
      <c r="J171" s="186">
        <f t="shared" si="62"/>
        <v>-27</v>
      </c>
      <c r="K171" s="186">
        <f t="shared" si="62"/>
        <v>-27</v>
      </c>
      <c r="L171" s="186">
        <f t="shared" si="62"/>
        <v>-27</v>
      </c>
      <c r="M171" s="186">
        <f t="shared" si="62"/>
        <v>-27</v>
      </c>
      <c r="N171" s="186">
        <f t="shared" si="62"/>
        <v>-27</v>
      </c>
      <c r="O171" s="186">
        <f t="shared" si="62"/>
        <v>-27</v>
      </c>
      <c r="P171" s="14">
        <f t="shared" si="59"/>
        <v>-314</v>
      </c>
      <c r="Q171" s="17">
        <f t="shared" si="60"/>
        <v>-179</v>
      </c>
      <c r="R171" s="14">
        <f t="shared" si="61"/>
        <v>-135</v>
      </c>
    </row>
    <row r="172" spans="1:18">
      <c r="A172" s="27" t="s">
        <v>70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4">
        <f t="shared" si="59"/>
        <v>0</v>
      </c>
      <c r="Q172" s="17">
        <f t="shared" si="60"/>
        <v>0</v>
      </c>
      <c r="R172" s="14">
        <f t="shared" si="61"/>
        <v>0</v>
      </c>
    </row>
    <row r="173" spans="1:18">
      <c r="A173" s="27" t="s">
        <v>635</v>
      </c>
      <c r="D173" s="187">
        <f>D158+267</f>
        <v>8</v>
      </c>
      <c r="E173" s="14">
        <f t="shared" ref="E173:N173" si="63">E158</f>
        <v>0</v>
      </c>
      <c r="F173" s="14">
        <f t="shared" si="63"/>
        <v>0</v>
      </c>
      <c r="G173" s="14">
        <f t="shared" si="63"/>
        <v>0</v>
      </c>
      <c r="H173" s="14">
        <f t="shared" si="63"/>
        <v>0</v>
      </c>
      <c r="I173" s="178">
        <f>I158+2800</f>
        <v>0</v>
      </c>
      <c r="J173" s="178">
        <f>J158-1</f>
        <v>-17703</v>
      </c>
      <c r="K173" s="14">
        <f t="shared" si="63"/>
        <v>0</v>
      </c>
      <c r="L173" s="14">
        <f t="shared" si="63"/>
        <v>0</v>
      </c>
      <c r="M173" s="14">
        <f t="shared" si="63"/>
        <v>0</v>
      </c>
      <c r="N173" s="14">
        <f t="shared" si="63"/>
        <v>0</v>
      </c>
      <c r="O173" s="178">
        <f>O158-1800+1800</f>
        <v>0</v>
      </c>
      <c r="P173" s="14">
        <f t="shared" si="59"/>
        <v>-17695</v>
      </c>
      <c r="Q173" s="17">
        <f t="shared" si="60"/>
        <v>-17695</v>
      </c>
      <c r="R173" s="14">
        <f t="shared" si="61"/>
        <v>0</v>
      </c>
    </row>
    <row r="174" spans="1:18">
      <c r="A174" s="27" t="s">
        <v>22</v>
      </c>
      <c r="C174" s="25">
        <v>0</v>
      </c>
      <c r="D174" s="25">
        <v>0</v>
      </c>
      <c r="E174" s="25">
        <v>0</v>
      </c>
      <c r="F174" s="25">
        <v>0</v>
      </c>
      <c r="G174" s="25">
        <v>0</v>
      </c>
      <c r="H174" s="25">
        <v>0</v>
      </c>
      <c r="I174" s="25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16">
        <f t="shared" si="59"/>
        <v>0</v>
      </c>
      <c r="Q174" s="25">
        <f t="shared" si="60"/>
        <v>0</v>
      </c>
      <c r="R174" s="16">
        <f t="shared" si="61"/>
        <v>0</v>
      </c>
    </row>
    <row r="175" spans="1:18" ht="3.95" customHeight="1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1:18">
      <c r="A176" s="26" t="s">
        <v>71</v>
      </c>
      <c r="C176" s="17">
        <v>1442835</v>
      </c>
      <c r="D176" s="14">
        <f t="shared" ref="D176:O176" si="64">SUM(D165:D175)</f>
        <v>1446637</v>
      </c>
      <c r="E176" s="14">
        <f t="shared" si="64"/>
        <v>1450495</v>
      </c>
      <c r="F176" s="14">
        <f t="shared" si="64"/>
        <v>1454095</v>
      </c>
      <c r="G176" s="14">
        <f t="shared" si="64"/>
        <v>1457697</v>
      </c>
      <c r="H176" s="14">
        <f t="shared" si="64"/>
        <v>1463022</v>
      </c>
      <c r="I176" s="14">
        <f t="shared" si="64"/>
        <v>1464768</v>
      </c>
      <c r="J176" s="14">
        <f t="shared" si="64"/>
        <v>1450869</v>
      </c>
      <c r="K176" s="14">
        <f t="shared" si="64"/>
        <v>1454669</v>
      </c>
      <c r="L176" s="14">
        <f t="shared" si="64"/>
        <v>1458514</v>
      </c>
      <c r="M176" s="14">
        <f t="shared" si="64"/>
        <v>1463659</v>
      </c>
      <c r="N176" s="14">
        <f t="shared" si="64"/>
        <v>1467554</v>
      </c>
      <c r="O176" s="14">
        <f t="shared" si="64"/>
        <v>1471499</v>
      </c>
      <c r="P176" s="14"/>
    </row>
    <row r="177" spans="1:18" ht="3.95" customHeight="1"/>
    <row r="178" spans="1:18">
      <c r="A178" s="27" t="s">
        <v>23</v>
      </c>
      <c r="C178" s="14"/>
      <c r="D178" s="14">
        <f t="shared" ref="D178:O178" si="65">D176-C176</f>
        <v>3802</v>
      </c>
      <c r="E178" s="14">
        <f t="shared" si="65"/>
        <v>3858</v>
      </c>
      <c r="F178" s="14">
        <f t="shared" si="65"/>
        <v>3600</v>
      </c>
      <c r="G178" s="14">
        <f t="shared" si="65"/>
        <v>3602</v>
      </c>
      <c r="H178" s="14">
        <f t="shared" si="65"/>
        <v>5325</v>
      </c>
      <c r="I178" s="14">
        <f t="shared" si="65"/>
        <v>1746</v>
      </c>
      <c r="J178" s="14">
        <f t="shared" si="65"/>
        <v>-13899</v>
      </c>
      <c r="K178" s="14">
        <f t="shared" si="65"/>
        <v>3800</v>
      </c>
      <c r="L178" s="14">
        <f t="shared" si="65"/>
        <v>3845</v>
      </c>
      <c r="M178" s="14">
        <f t="shared" si="65"/>
        <v>5145</v>
      </c>
      <c r="N178" s="14">
        <f t="shared" si="65"/>
        <v>3895</v>
      </c>
      <c r="O178" s="14">
        <f t="shared" si="65"/>
        <v>3945</v>
      </c>
      <c r="P178" s="14">
        <f>SUM(D178:O178)</f>
        <v>28664</v>
      </c>
      <c r="Q178" s="14">
        <f>SUM(Q166:Q175)</f>
        <v>8034</v>
      </c>
      <c r="R178" s="14">
        <f>P178-Q178</f>
        <v>20630</v>
      </c>
    </row>
    <row r="180" spans="1:18">
      <c r="A180" s="26" t="s">
        <v>576</v>
      </c>
      <c r="C180" s="14"/>
      <c r="D180" s="14">
        <f t="shared" ref="D180:O180" si="66">C184</f>
        <v>0</v>
      </c>
      <c r="E180" s="14">
        <f t="shared" si="66"/>
        <v>0</v>
      </c>
      <c r="F180" s="14">
        <f t="shared" si="66"/>
        <v>0</v>
      </c>
      <c r="G180" s="14">
        <f t="shared" si="66"/>
        <v>0</v>
      </c>
      <c r="H180" s="14">
        <f t="shared" si="66"/>
        <v>0</v>
      </c>
      <c r="I180" s="14">
        <f t="shared" si="66"/>
        <v>0</v>
      </c>
      <c r="J180" s="14">
        <f t="shared" si="66"/>
        <v>0</v>
      </c>
      <c r="K180" s="14">
        <f t="shared" si="66"/>
        <v>0</v>
      </c>
      <c r="L180" s="14">
        <f t="shared" si="66"/>
        <v>0</v>
      </c>
      <c r="M180" s="14">
        <f t="shared" si="66"/>
        <v>0</v>
      </c>
      <c r="N180" s="14">
        <f t="shared" si="66"/>
        <v>0</v>
      </c>
      <c r="O180" s="14">
        <f t="shared" si="66"/>
        <v>0</v>
      </c>
      <c r="P180" s="14"/>
    </row>
    <row r="181" spans="1:18">
      <c r="A181" s="27" t="s">
        <v>72</v>
      </c>
      <c r="C181" s="14"/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4">
        <f>SUM(D181:O181)</f>
        <v>0</v>
      </c>
      <c r="Q181" s="17">
        <f>SUM(D181:J181)</f>
        <v>0</v>
      </c>
      <c r="R181" s="14">
        <f>P181-Q181</f>
        <v>0</v>
      </c>
    </row>
    <row r="182" spans="1:18">
      <c r="A182" s="27" t="s">
        <v>22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16">
        <f>SUM(D182:O182)</f>
        <v>0</v>
      </c>
      <c r="Q182" s="25">
        <f>SUM(D182:J182)</f>
        <v>0</v>
      </c>
      <c r="R182" s="14">
        <f>P182-Q182</f>
        <v>0</v>
      </c>
    </row>
    <row r="183" spans="1:18" ht="3.95" customHeight="1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1:18">
      <c r="A184" s="26" t="s">
        <v>577</v>
      </c>
      <c r="C184" s="17">
        <v>0</v>
      </c>
      <c r="D184" s="14">
        <f t="shared" ref="D184:O184" si="67">SUM(D180:D183)</f>
        <v>0</v>
      </c>
      <c r="E184" s="14">
        <f t="shared" si="67"/>
        <v>0</v>
      </c>
      <c r="F184" s="14">
        <f t="shared" si="67"/>
        <v>0</v>
      </c>
      <c r="G184" s="14">
        <f t="shared" si="67"/>
        <v>0</v>
      </c>
      <c r="H184" s="14">
        <f t="shared" si="67"/>
        <v>0</v>
      </c>
      <c r="I184" s="14">
        <f t="shared" si="67"/>
        <v>0</v>
      </c>
      <c r="J184" s="14">
        <f t="shared" si="67"/>
        <v>0</v>
      </c>
      <c r="K184" s="14">
        <f t="shared" si="67"/>
        <v>0</v>
      </c>
      <c r="L184" s="14">
        <f t="shared" si="67"/>
        <v>0</v>
      </c>
      <c r="M184" s="14">
        <f t="shared" si="67"/>
        <v>0</v>
      </c>
      <c r="N184" s="14">
        <f t="shared" si="67"/>
        <v>0</v>
      </c>
      <c r="O184" s="14">
        <f t="shared" si="67"/>
        <v>0</v>
      </c>
      <c r="P184" s="14"/>
    </row>
    <row r="185" spans="1:18" ht="3.95" customHeight="1"/>
    <row r="186" spans="1:18">
      <c r="A186" s="27" t="s">
        <v>23</v>
      </c>
      <c r="D186" s="14">
        <f t="shared" ref="D186:O186" si="68">D184-C184</f>
        <v>0</v>
      </c>
      <c r="E186" s="14">
        <f t="shared" si="68"/>
        <v>0</v>
      </c>
      <c r="F186" s="14">
        <f t="shared" si="68"/>
        <v>0</v>
      </c>
      <c r="G186" s="14">
        <f t="shared" si="68"/>
        <v>0</v>
      </c>
      <c r="H186" s="14">
        <f t="shared" si="68"/>
        <v>0</v>
      </c>
      <c r="I186" s="14">
        <f t="shared" si="68"/>
        <v>0</v>
      </c>
      <c r="J186" s="14">
        <f t="shared" si="68"/>
        <v>0</v>
      </c>
      <c r="K186" s="14">
        <f t="shared" si="68"/>
        <v>0</v>
      </c>
      <c r="L186" s="14">
        <f t="shared" si="68"/>
        <v>0</v>
      </c>
      <c r="M186" s="14">
        <f t="shared" si="68"/>
        <v>0</v>
      </c>
      <c r="N186" s="14">
        <f t="shared" si="68"/>
        <v>0</v>
      </c>
      <c r="O186" s="14">
        <f t="shared" si="68"/>
        <v>0</v>
      </c>
      <c r="P186" s="14">
        <f>SUM(D186:O186)</f>
        <v>0</v>
      </c>
      <c r="Q186" s="14">
        <f>SUM(Q181:Q183)</f>
        <v>0</v>
      </c>
      <c r="R186" s="14">
        <f>P186-Q186</f>
        <v>0</v>
      </c>
    </row>
    <row r="188" spans="1:18">
      <c r="A188" s="26" t="s">
        <v>578</v>
      </c>
      <c r="D188" s="14">
        <f t="shared" ref="D188:O188" si="69">C192</f>
        <v>0</v>
      </c>
      <c r="E188" s="14">
        <f t="shared" si="69"/>
        <v>0</v>
      </c>
      <c r="F188" s="14">
        <f t="shared" si="69"/>
        <v>0</v>
      </c>
      <c r="G188" s="14">
        <f t="shared" si="69"/>
        <v>0</v>
      </c>
      <c r="H188" s="14">
        <f t="shared" si="69"/>
        <v>0</v>
      </c>
      <c r="I188" s="14">
        <f t="shared" si="69"/>
        <v>0</v>
      </c>
      <c r="J188" s="14">
        <f t="shared" si="69"/>
        <v>0</v>
      </c>
      <c r="K188" s="14">
        <f t="shared" si="69"/>
        <v>0</v>
      </c>
      <c r="L188" s="14">
        <f t="shared" si="69"/>
        <v>0</v>
      </c>
      <c r="M188" s="14">
        <f t="shared" si="69"/>
        <v>0</v>
      </c>
      <c r="N188" s="14">
        <f t="shared" si="69"/>
        <v>0</v>
      </c>
      <c r="O188" s="14">
        <f t="shared" si="69"/>
        <v>0</v>
      </c>
    </row>
    <row r="189" spans="1:18">
      <c r="A189" s="27" t="s">
        <v>73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14">
        <f>SUM(D189:O189)</f>
        <v>0</v>
      </c>
      <c r="Q189" s="17">
        <f>SUM(D189:J189)</f>
        <v>0</v>
      </c>
      <c r="R189" s="14">
        <f>P189-Q189</f>
        <v>0</v>
      </c>
    </row>
    <row r="190" spans="1:18">
      <c r="A190" s="27" t="s">
        <v>22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16">
        <f>SUM(D190:O190)</f>
        <v>0</v>
      </c>
      <c r="Q190" s="25">
        <f>SUM(D190:J190)</f>
        <v>0</v>
      </c>
      <c r="R190" s="16">
        <f>P190-Q190</f>
        <v>0</v>
      </c>
    </row>
    <row r="191" spans="1:18" ht="3.95" customHeight="1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1:18">
      <c r="A192" s="26" t="s">
        <v>579</v>
      </c>
      <c r="C192" s="17">
        <v>0</v>
      </c>
      <c r="D192" s="14">
        <f t="shared" ref="D192:O192" si="70">SUM(D188:D191)</f>
        <v>0</v>
      </c>
      <c r="E192" s="14">
        <f t="shared" si="70"/>
        <v>0</v>
      </c>
      <c r="F192" s="14">
        <f t="shared" si="70"/>
        <v>0</v>
      </c>
      <c r="G192" s="14">
        <f t="shared" si="70"/>
        <v>0</v>
      </c>
      <c r="H192" s="14">
        <f t="shared" si="70"/>
        <v>0</v>
      </c>
      <c r="I192" s="14">
        <f t="shared" si="70"/>
        <v>0</v>
      </c>
      <c r="J192" s="14">
        <f t="shared" si="70"/>
        <v>0</v>
      </c>
      <c r="K192" s="14">
        <f t="shared" si="70"/>
        <v>0</v>
      </c>
      <c r="L192" s="14">
        <f t="shared" si="70"/>
        <v>0</v>
      </c>
      <c r="M192" s="14">
        <f t="shared" si="70"/>
        <v>0</v>
      </c>
      <c r="N192" s="14">
        <f t="shared" si="70"/>
        <v>0</v>
      </c>
      <c r="O192" s="14">
        <f t="shared" si="70"/>
        <v>0</v>
      </c>
      <c r="P192" s="14"/>
    </row>
    <row r="193" spans="1:23" ht="3.95" customHeight="1"/>
    <row r="194" spans="1:23">
      <c r="A194" s="27" t="s">
        <v>23</v>
      </c>
      <c r="C194" s="14"/>
      <c r="D194" s="14">
        <f t="shared" ref="D194:O194" si="71">D192-C192</f>
        <v>0</v>
      </c>
      <c r="E194" s="14">
        <f t="shared" si="71"/>
        <v>0</v>
      </c>
      <c r="F194" s="14">
        <f t="shared" si="71"/>
        <v>0</v>
      </c>
      <c r="G194" s="14">
        <f t="shared" si="71"/>
        <v>0</v>
      </c>
      <c r="H194" s="14">
        <f t="shared" si="71"/>
        <v>0</v>
      </c>
      <c r="I194" s="14">
        <f t="shared" si="71"/>
        <v>0</v>
      </c>
      <c r="J194" s="14">
        <f t="shared" si="71"/>
        <v>0</v>
      </c>
      <c r="K194" s="14">
        <f t="shared" si="71"/>
        <v>0</v>
      </c>
      <c r="L194" s="14">
        <f t="shared" si="71"/>
        <v>0</v>
      </c>
      <c r="M194" s="14">
        <f t="shared" si="71"/>
        <v>0</v>
      </c>
      <c r="N194" s="14">
        <f t="shared" si="71"/>
        <v>0</v>
      </c>
      <c r="O194" s="14">
        <f t="shared" si="71"/>
        <v>0</v>
      </c>
      <c r="P194" s="14">
        <f>SUM(D194:O194)</f>
        <v>0</v>
      </c>
      <c r="Q194" s="14">
        <f>SUM(Q190:Q191)</f>
        <v>0</v>
      </c>
      <c r="R194" s="14">
        <f>P194-Q194</f>
        <v>0</v>
      </c>
    </row>
    <row r="195" spans="1:23" ht="8.1" customHeight="1"/>
    <row r="196" spans="1:23">
      <c r="U196" s="12" t="s">
        <v>43</v>
      </c>
    </row>
    <row r="197" spans="1:23">
      <c r="A197" s="26" t="s">
        <v>570</v>
      </c>
      <c r="D197" s="14">
        <f t="shared" ref="D197:O197" si="72">C247</f>
        <v>205563</v>
      </c>
      <c r="E197" s="14">
        <f t="shared" si="72"/>
        <v>208335</v>
      </c>
      <c r="F197" s="14">
        <f t="shared" si="72"/>
        <v>204840</v>
      </c>
      <c r="G197" s="14">
        <f t="shared" si="72"/>
        <v>204494</v>
      </c>
      <c r="H197" s="14">
        <f t="shared" si="72"/>
        <v>202992</v>
      </c>
      <c r="I197" s="14">
        <f t="shared" si="72"/>
        <v>198687</v>
      </c>
      <c r="J197" s="14">
        <f t="shared" si="72"/>
        <v>195422</v>
      </c>
      <c r="K197" s="14">
        <f t="shared" si="72"/>
        <v>192000</v>
      </c>
      <c r="L197" s="14">
        <f t="shared" si="72"/>
        <v>191659</v>
      </c>
      <c r="M197" s="14">
        <f t="shared" si="72"/>
        <v>191241</v>
      </c>
      <c r="N197" s="14">
        <f t="shared" si="72"/>
        <v>190924</v>
      </c>
      <c r="O197" s="14">
        <f t="shared" si="72"/>
        <v>190006</v>
      </c>
      <c r="U197" s="13" t="s">
        <v>45</v>
      </c>
    </row>
    <row r="198" spans="1:23">
      <c r="A198" s="27" t="s">
        <v>74</v>
      </c>
      <c r="C198" s="17">
        <v>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0</v>
      </c>
      <c r="M198" s="17">
        <v>0</v>
      </c>
      <c r="N198" s="17">
        <v>0</v>
      </c>
      <c r="O198" s="17">
        <v>0</v>
      </c>
      <c r="P198" s="14">
        <f t="shared" ref="P198:P245" si="73">SUM(D198:O198)</f>
        <v>0</v>
      </c>
      <c r="Q198" s="17">
        <f t="shared" ref="Q198:Q245" si="74">SUM(D198:J198)</f>
        <v>0</v>
      </c>
      <c r="R198" s="14">
        <f t="shared" ref="R198:R221" si="75">P198-Q198</f>
        <v>0</v>
      </c>
      <c r="T198" s="17">
        <f>SUM(C198:J198)</f>
        <v>0</v>
      </c>
      <c r="U198" s="14"/>
      <c r="W198" s="19"/>
    </row>
    <row r="199" spans="1:23">
      <c r="A199" s="27" t="s">
        <v>75</v>
      </c>
      <c r="B199" s="18"/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4">
        <f t="shared" si="73"/>
        <v>0</v>
      </c>
      <c r="Q199" s="17">
        <f t="shared" si="74"/>
        <v>0</v>
      </c>
      <c r="R199" s="14">
        <f t="shared" si="75"/>
        <v>0</v>
      </c>
      <c r="T199" s="17">
        <f t="shared" ref="T199:T245" si="76">SUM(C199:J199)</f>
        <v>0</v>
      </c>
      <c r="U199" s="14"/>
      <c r="W199" s="19"/>
    </row>
    <row r="200" spans="1:23">
      <c r="A200" s="27" t="s">
        <v>76</v>
      </c>
      <c r="B200" s="18"/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4">
        <f t="shared" si="73"/>
        <v>0</v>
      </c>
      <c r="Q200" s="17">
        <f t="shared" si="74"/>
        <v>0</v>
      </c>
      <c r="R200" s="14">
        <f t="shared" si="75"/>
        <v>0</v>
      </c>
      <c r="T200" s="17">
        <f t="shared" si="76"/>
        <v>0</v>
      </c>
      <c r="U200" s="14">
        <f>SUM(T198:T200)</f>
        <v>0</v>
      </c>
      <c r="W200" s="19"/>
    </row>
    <row r="201" spans="1:23">
      <c r="A201" s="27" t="s">
        <v>77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4">
        <f t="shared" si="73"/>
        <v>0</v>
      </c>
      <c r="Q201" s="17">
        <f t="shared" si="74"/>
        <v>0</v>
      </c>
      <c r="R201" s="14">
        <f t="shared" si="75"/>
        <v>0</v>
      </c>
      <c r="T201" s="17">
        <f t="shared" si="76"/>
        <v>0</v>
      </c>
      <c r="U201" s="14"/>
      <c r="W201" s="19"/>
    </row>
    <row r="202" spans="1:23">
      <c r="A202" s="27" t="s">
        <v>75</v>
      </c>
      <c r="B202" s="18" t="s">
        <v>26</v>
      </c>
      <c r="C202" s="17">
        <v>0</v>
      </c>
      <c r="D202" s="14">
        <f>[1]Source!D25</f>
        <v>0</v>
      </c>
      <c r="E202" s="14">
        <f>[1]Source!E25</f>
        <v>0</v>
      </c>
      <c r="F202" s="14">
        <f>[1]Source!F25</f>
        <v>0</v>
      </c>
      <c r="G202" s="14">
        <f>[1]Source!G25</f>
        <v>0</v>
      </c>
      <c r="H202" s="14">
        <f>[1]Source!H25</f>
        <v>0</v>
      </c>
      <c r="I202" s="14">
        <f>[1]Source!I25</f>
        <v>0</v>
      </c>
      <c r="J202" s="14">
        <f>[1]Source!J25</f>
        <v>0</v>
      </c>
      <c r="K202" s="14">
        <f>[1]Source!K25</f>
        <v>0</v>
      </c>
      <c r="L202" s="14">
        <f>[1]Source!L25</f>
        <v>0</v>
      </c>
      <c r="M202" s="14">
        <f>[1]Source!M25</f>
        <v>0</v>
      </c>
      <c r="N202" s="14">
        <f>[1]Source!N25</f>
        <v>0</v>
      </c>
      <c r="O202" s="14">
        <f>[1]Source!O25</f>
        <v>0</v>
      </c>
      <c r="P202" s="14">
        <f t="shared" si="73"/>
        <v>0</v>
      </c>
      <c r="Q202" s="17">
        <f t="shared" si="74"/>
        <v>0</v>
      </c>
      <c r="R202" s="14">
        <f t="shared" si="75"/>
        <v>0</v>
      </c>
      <c r="T202" s="17">
        <f t="shared" si="76"/>
        <v>0</v>
      </c>
      <c r="U202" s="14"/>
      <c r="W202" s="19"/>
    </row>
    <row r="203" spans="1:23">
      <c r="A203" s="27" t="s">
        <v>76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  <c r="J203" s="17">
        <v>0</v>
      </c>
      <c r="K203" s="17">
        <v>0</v>
      </c>
      <c r="L203" s="17">
        <v>0</v>
      </c>
      <c r="M203" s="17">
        <v>0</v>
      </c>
      <c r="N203" s="17">
        <v>0</v>
      </c>
      <c r="O203" s="17">
        <v>0</v>
      </c>
      <c r="P203" s="14">
        <f t="shared" si="73"/>
        <v>0</v>
      </c>
      <c r="Q203" s="17">
        <f t="shared" si="74"/>
        <v>0</v>
      </c>
      <c r="R203" s="14">
        <f t="shared" si="75"/>
        <v>0</v>
      </c>
      <c r="T203" s="17">
        <f t="shared" si="76"/>
        <v>0</v>
      </c>
      <c r="U203" s="14">
        <f>SUM(T201:T203)</f>
        <v>0</v>
      </c>
      <c r="W203" s="19"/>
    </row>
    <row r="204" spans="1:23">
      <c r="A204" s="27" t="s">
        <v>78</v>
      </c>
      <c r="C204" s="17">
        <v>0</v>
      </c>
      <c r="D204" s="17">
        <v>0</v>
      </c>
      <c r="E204" s="17">
        <v>0</v>
      </c>
      <c r="F204" s="17">
        <v>0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0</v>
      </c>
      <c r="M204" s="17">
        <v>0</v>
      </c>
      <c r="N204" s="17">
        <v>0</v>
      </c>
      <c r="O204" s="17">
        <v>0</v>
      </c>
      <c r="P204" s="14">
        <f t="shared" si="73"/>
        <v>0</v>
      </c>
      <c r="Q204" s="17">
        <f t="shared" si="74"/>
        <v>0</v>
      </c>
      <c r="R204" s="14">
        <f t="shared" si="75"/>
        <v>0</v>
      </c>
      <c r="T204" s="17">
        <f t="shared" si="76"/>
        <v>0</v>
      </c>
      <c r="U204" s="14"/>
      <c r="W204" s="19"/>
    </row>
    <row r="205" spans="1:23">
      <c r="A205" s="27" t="s">
        <v>75</v>
      </c>
      <c r="B205" s="18"/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17">
        <v>0</v>
      </c>
      <c r="N205" s="17">
        <v>0</v>
      </c>
      <c r="O205" s="17">
        <v>0</v>
      </c>
      <c r="P205" s="14">
        <f t="shared" si="73"/>
        <v>0</v>
      </c>
      <c r="Q205" s="17">
        <f t="shared" si="74"/>
        <v>0</v>
      </c>
      <c r="R205" s="14">
        <f t="shared" si="75"/>
        <v>0</v>
      </c>
      <c r="T205" s="17">
        <f t="shared" si="76"/>
        <v>0</v>
      </c>
      <c r="U205" s="14"/>
      <c r="W205" s="19"/>
    </row>
    <row r="206" spans="1:23">
      <c r="A206" s="27" t="s">
        <v>76</v>
      </c>
      <c r="B206" s="18"/>
      <c r="C206" s="17">
        <v>0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17">
        <v>0</v>
      </c>
      <c r="N206" s="17">
        <v>0</v>
      </c>
      <c r="O206" s="17">
        <v>0</v>
      </c>
      <c r="P206" s="14">
        <f t="shared" si="73"/>
        <v>0</v>
      </c>
      <c r="Q206" s="17">
        <f t="shared" si="74"/>
        <v>0</v>
      </c>
      <c r="R206" s="14">
        <f t="shared" si="75"/>
        <v>0</v>
      </c>
      <c r="T206" s="17">
        <f t="shared" si="76"/>
        <v>0</v>
      </c>
      <c r="U206" s="14">
        <f>SUM(T204:T206)</f>
        <v>0</v>
      </c>
      <c r="W206" s="19"/>
    </row>
    <row r="207" spans="1:23">
      <c r="A207" s="27" t="s">
        <v>79</v>
      </c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  <c r="O207" s="17">
        <v>0</v>
      </c>
      <c r="P207" s="14">
        <f t="shared" si="73"/>
        <v>0</v>
      </c>
      <c r="Q207" s="17">
        <f t="shared" si="74"/>
        <v>0</v>
      </c>
      <c r="R207" s="14">
        <f t="shared" si="75"/>
        <v>0</v>
      </c>
      <c r="T207" s="17">
        <f t="shared" si="76"/>
        <v>0</v>
      </c>
      <c r="U207" s="14"/>
      <c r="W207" s="19"/>
    </row>
    <row r="208" spans="1:23">
      <c r="A208" s="27" t="s">
        <v>75</v>
      </c>
      <c r="B208" s="18"/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0</v>
      </c>
      <c r="L208" s="17">
        <v>0</v>
      </c>
      <c r="M208" s="17">
        <v>0</v>
      </c>
      <c r="N208" s="17">
        <v>0</v>
      </c>
      <c r="O208" s="17">
        <v>0</v>
      </c>
      <c r="P208" s="14">
        <f t="shared" si="73"/>
        <v>0</v>
      </c>
      <c r="Q208" s="17">
        <f t="shared" si="74"/>
        <v>0</v>
      </c>
      <c r="R208" s="14">
        <f t="shared" si="75"/>
        <v>0</v>
      </c>
      <c r="T208" s="17">
        <f t="shared" si="76"/>
        <v>0</v>
      </c>
      <c r="U208" s="14"/>
      <c r="W208" s="19"/>
    </row>
    <row r="209" spans="1:23">
      <c r="A209" s="27" t="s">
        <v>76</v>
      </c>
      <c r="B209" s="18"/>
      <c r="C209" s="17">
        <v>0</v>
      </c>
      <c r="D209" s="14">
        <f>[1]Source!D20</f>
        <v>0</v>
      </c>
      <c r="E209" s="14">
        <f>[1]Source!E20</f>
        <v>0</v>
      </c>
      <c r="F209" s="14">
        <f>[1]Source!F20</f>
        <v>0</v>
      </c>
      <c r="G209" s="14">
        <f>[1]Source!G20</f>
        <v>0</v>
      </c>
      <c r="H209" s="14">
        <f>[1]Source!H20</f>
        <v>0</v>
      </c>
      <c r="I209" s="14">
        <f>[1]Source!I20</f>
        <v>0</v>
      </c>
      <c r="J209" s="14">
        <f>[1]Source!J20</f>
        <v>0</v>
      </c>
      <c r="K209" s="14">
        <f>[1]Source!K20</f>
        <v>0</v>
      </c>
      <c r="L209" s="14">
        <f>[1]Source!L20</f>
        <v>0</v>
      </c>
      <c r="M209" s="14">
        <f>[1]Source!M20</f>
        <v>0</v>
      </c>
      <c r="N209" s="14">
        <f>[1]Source!N20</f>
        <v>0</v>
      </c>
      <c r="O209" s="14">
        <f>[1]Source!O20</f>
        <v>0</v>
      </c>
      <c r="P209" s="14">
        <f t="shared" si="73"/>
        <v>0</v>
      </c>
      <c r="Q209" s="17">
        <f t="shared" si="74"/>
        <v>0</v>
      </c>
      <c r="R209" s="14">
        <f t="shared" si="75"/>
        <v>0</v>
      </c>
      <c r="T209" s="17">
        <f t="shared" si="76"/>
        <v>0</v>
      </c>
      <c r="U209" s="14">
        <f>SUM(T207:T209)</f>
        <v>0</v>
      </c>
      <c r="W209" s="19"/>
    </row>
    <row r="210" spans="1:23">
      <c r="A210" s="27" t="s">
        <v>80</v>
      </c>
      <c r="C210" s="17">
        <v>0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  <c r="O210" s="17">
        <v>0</v>
      </c>
      <c r="P210" s="14">
        <f t="shared" si="73"/>
        <v>0</v>
      </c>
      <c r="Q210" s="17">
        <f t="shared" si="74"/>
        <v>0</v>
      </c>
      <c r="R210" s="14">
        <f t="shared" si="75"/>
        <v>0</v>
      </c>
      <c r="T210" s="17">
        <f t="shared" si="76"/>
        <v>0</v>
      </c>
      <c r="U210" s="14"/>
      <c r="W210" s="19"/>
    </row>
    <row r="211" spans="1:23">
      <c r="A211" s="27" t="s">
        <v>81</v>
      </c>
      <c r="B211" s="18"/>
      <c r="C211" s="17">
        <v>0</v>
      </c>
      <c r="D211" s="17">
        <v>0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0</v>
      </c>
      <c r="N211" s="17">
        <v>0</v>
      </c>
      <c r="O211" s="17">
        <v>0</v>
      </c>
      <c r="P211" s="14">
        <f t="shared" si="73"/>
        <v>0</v>
      </c>
      <c r="Q211" s="17">
        <f t="shared" si="74"/>
        <v>0</v>
      </c>
      <c r="R211" s="14">
        <f t="shared" si="75"/>
        <v>0</v>
      </c>
      <c r="T211" s="17">
        <f t="shared" si="76"/>
        <v>0</v>
      </c>
      <c r="U211" s="14"/>
      <c r="W211" s="19"/>
    </row>
    <row r="212" spans="1:23">
      <c r="A212" s="27" t="s">
        <v>76</v>
      </c>
      <c r="B212" s="18"/>
      <c r="C212" s="17">
        <v>0</v>
      </c>
      <c r="D212" s="17">
        <v>0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17">
        <v>0</v>
      </c>
      <c r="N212" s="17">
        <v>0</v>
      </c>
      <c r="O212" s="17">
        <v>0</v>
      </c>
      <c r="P212" s="14">
        <f t="shared" si="73"/>
        <v>0</v>
      </c>
      <c r="Q212" s="17">
        <f t="shared" si="74"/>
        <v>0</v>
      </c>
      <c r="R212" s="14">
        <f t="shared" si="75"/>
        <v>0</v>
      </c>
      <c r="T212" s="17">
        <f t="shared" si="76"/>
        <v>0</v>
      </c>
      <c r="U212" s="14">
        <f>SUM(T210:T212)</f>
        <v>0</v>
      </c>
      <c r="W212" s="19"/>
    </row>
    <row r="213" spans="1:23">
      <c r="A213" s="27" t="s">
        <v>82</v>
      </c>
      <c r="C213" s="17">
        <v>0</v>
      </c>
      <c r="D213" s="17">
        <v>0</v>
      </c>
      <c r="E213" s="17">
        <v>0</v>
      </c>
      <c r="F213" s="17">
        <v>0</v>
      </c>
      <c r="G213" s="17">
        <v>0</v>
      </c>
      <c r="H213" s="17">
        <v>0</v>
      </c>
      <c r="I213" s="17">
        <v>0</v>
      </c>
      <c r="J213" s="17">
        <v>0</v>
      </c>
      <c r="K213" s="17">
        <v>0</v>
      </c>
      <c r="L213" s="17">
        <v>0</v>
      </c>
      <c r="M213" s="17">
        <v>0</v>
      </c>
      <c r="N213" s="17">
        <v>0</v>
      </c>
      <c r="O213" s="17">
        <v>0</v>
      </c>
      <c r="P213" s="14">
        <f t="shared" si="73"/>
        <v>0</v>
      </c>
      <c r="Q213" s="17">
        <f t="shared" si="74"/>
        <v>0</v>
      </c>
      <c r="R213" s="14">
        <f t="shared" si="75"/>
        <v>0</v>
      </c>
      <c r="T213" s="17">
        <f t="shared" si="76"/>
        <v>0</v>
      </c>
      <c r="U213" s="14"/>
      <c r="W213" s="19"/>
    </row>
    <row r="214" spans="1:23">
      <c r="A214" s="27" t="s">
        <v>81</v>
      </c>
      <c r="B214" s="18"/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0</v>
      </c>
      <c r="O214" s="17">
        <v>0</v>
      </c>
      <c r="P214" s="14">
        <f t="shared" si="73"/>
        <v>0</v>
      </c>
      <c r="Q214" s="17">
        <f t="shared" si="74"/>
        <v>0</v>
      </c>
      <c r="R214" s="14">
        <f t="shared" si="75"/>
        <v>0</v>
      </c>
      <c r="T214" s="17">
        <f t="shared" si="76"/>
        <v>0</v>
      </c>
      <c r="U214" s="14"/>
      <c r="W214" s="19"/>
    </row>
    <row r="215" spans="1:23">
      <c r="A215" s="27" t="s">
        <v>76</v>
      </c>
      <c r="B215" s="18" t="s">
        <v>26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17">
        <v>0</v>
      </c>
      <c r="N215" s="17">
        <v>0</v>
      </c>
      <c r="O215" s="17">
        <v>0</v>
      </c>
      <c r="P215" s="14">
        <f t="shared" si="73"/>
        <v>0</v>
      </c>
      <c r="Q215" s="17">
        <f t="shared" si="74"/>
        <v>0</v>
      </c>
      <c r="R215" s="14">
        <f t="shared" si="75"/>
        <v>0</v>
      </c>
      <c r="T215" s="17">
        <f t="shared" si="76"/>
        <v>0</v>
      </c>
      <c r="U215" s="14">
        <f>SUM(T213:T215)</f>
        <v>0</v>
      </c>
      <c r="W215" s="19"/>
    </row>
    <row r="216" spans="1:23">
      <c r="A216" s="27" t="s">
        <v>83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7">
        <v>0</v>
      </c>
      <c r="P216" s="14">
        <f t="shared" si="73"/>
        <v>0</v>
      </c>
      <c r="Q216" s="17">
        <f t="shared" si="74"/>
        <v>0</v>
      </c>
      <c r="R216" s="14">
        <f t="shared" si="75"/>
        <v>0</v>
      </c>
      <c r="T216" s="17">
        <f t="shared" si="76"/>
        <v>0</v>
      </c>
      <c r="U216" s="14"/>
      <c r="W216" s="19"/>
    </row>
    <row r="217" spans="1:23">
      <c r="A217" s="27" t="s">
        <v>81</v>
      </c>
      <c r="B217" s="18"/>
      <c r="C217" s="17">
        <v>251</v>
      </c>
      <c r="D217" s="224">
        <f>-D83</f>
        <v>0</v>
      </c>
      <c r="E217" s="224">
        <f t="shared" ref="E217:O217" si="77">-E83</f>
        <v>0</v>
      </c>
      <c r="F217" s="224">
        <f t="shared" si="77"/>
        <v>0</v>
      </c>
      <c r="G217" s="224">
        <f t="shared" si="77"/>
        <v>0</v>
      </c>
      <c r="H217" s="224">
        <f t="shared" si="77"/>
        <v>0</v>
      </c>
      <c r="I217" s="224">
        <f t="shared" si="77"/>
        <v>0</v>
      </c>
      <c r="J217" s="224">
        <f t="shared" si="77"/>
        <v>0</v>
      </c>
      <c r="K217" s="224">
        <f t="shared" si="77"/>
        <v>0</v>
      </c>
      <c r="L217" s="224">
        <f t="shared" si="77"/>
        <v>0</v>
      </c>
      <c r="M217" s="224">
        <f t="shared" si="77"/>
        <v>89</v>
      </c>
      <c r="N217" s="224">
        <f t="shared" si="77"/>
        <v>0</v>
      </c>
      <c r="O217" s="224">
        <f t="shared" si="77"/>
        <v>0</v>
      </c>
      <c r="P217" s="14">
        <f t="shared" si="73"/>
        <v>89</v>
      </c>
      <c r="Q217" s="17">
        <f t="shared" si="74"/>
        <v>0</v>
      </c>
      <c r="R217" s="14">
        <f t="shared" si="75"/>
        <v>89</v>
      </c>
      <c r="T217" s="17">
        <f t="shared" si="76"/>
        <v>251</v>
      </c>
      <c r="U217" s="14"/>
      <c r="W217" s="19"/>
    </row>
    <row r="218" spans="1:23">
      <c r="A218" s="27" t="s">
        <v>76</v>
      </c>
      <c r="B218" s="18"/>
      <c r="C218" s="17">
        <v>0</v>
      </c>
      <c r="D218" s="141">
        <f>[1]Source!D66</f>
        <v>-20</v>
      </c>
      <c r="E218" s="141">
        <f>[1]Source!E66</f>
        <v>-20</v>
      </c>
      <c r="F218" s="141">
        <f>[1]Source!F66</f>
        <v>-21</v>
      </c>
      <c r="G218" s="187">
        <f>[1]Source!G66-1</f>
        <v>-21</v>
      </c>
      <c r="H218" s="187">
        <f>[1]Source!H66+1</f>
        <v>-19</v>
      </c>
      <c r="I218" s="141">
        <f>[1]Source!I66</f>
        <v>-20</v>
      </c>
      <c r="J218" s="141">
        <f>[1]Source!J66</f>
        <v>-20</v>
      </c>
      <c r="K218" s="141">
        <f>[1]Source!K66</f>
        <v>-17</v>
      </c>
      <c r="L218" s="141">
        <f>[1]Source!L66</f>
        <v>-17</v>
      </c>
      <c r="M218" s="141">
        <f>[1]Source!M66</f>
        <v>-11</v>
      </c>
      <c r="N218" s="141">
        <f>[1]Source!N66</f>
        <v>-11</v>
      </c>
      <c r="O218" s="141">
        <f>[1]Source!O66</f>
        <v>-12</v>
      </c>
      <c r="P218" s="14">
        <f t="shared" si="73"/>
        <v>-209</v>
      </c>
      <c r="Q218" s="17">
        <f t="shared" si="74"/>
        <v>-141</v>
      </c>
      <c r="R218" s="14">
        <f t="shared" si="75"/>
        <v>-68</v>
      </c>
      <c r="T218" s="17">
        <f t="shared" si="76"/>
        <v>-141</v>
      </c>
      <c r="U218" s="14">
        <f>SUM(T216:T218)</f>
        <v>110</v>
      </c>
      <c r="W218" s="19"/>
    </row>
    <row r="219" spans="1:23">
      <c r="A219" s="27" t="s">
        <v>84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0</v>
      </c>
      <c r="P219" s="14">
        <f t="shared" si="73"/>
        <v>0</v>
      </c>
      <c r="Q219" s="17">
        <f t="shared" si="74"/>
        <v>0</v>
      </c>
      <c r="R219" s="14">
        <f t="shared" si="75"/>
        <v>0</v>
      </c>
      <c r="T219" s="17">
        <f t="shared" si="76"/>
        <v>0</v>
      </c>
      <c r="U219" s="14"/>
    </row>
    <row r="220" spans="1:23">
      <c r="A220" s="27" t="s">
        <v>85</v>
      </c>
      <c r="B220" s="18"/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 s="17">
        <v>0</v>
      </c>
      <c r="N220" s="17">
        <v>0</v>
      </c>
      <c r="O220" s="17">
        <v>0</v>
      </c>
      <c r="P220" s="14">
        <f t="shared" si="73"/>
        <v>0</v>
      </c>
      <c r="Q220" s="17">
        <f t="shared" si="74"/>
        <v>0</v>
      </c>
      <c r="R220" s="14">
        <f t="shared" si="75"/>
        <v>0</v>
      </c>
      <c r="T220" s="17">
        <f t="shared" si="76"/>
        <v>0</v>
      </c>
      <c r="U220" s="14"/>
    </row>
    <row r="221" spans="1:23">
      <c r="A221" s="27" t="s">
        <v>76</v>
      </c>
      <c r="B221" s="18"/>
      <c r="C221" s="17">
        <v>0</v>
      </c>
      <c r="D221" s="141">
        <f>[1]Source!D74</f>
        <v>0</v>
      </c>
      <c r="E221" s="141">
        <f>[1]Source!E74</f>
        <v>0</v>
      </c>
      <c r="F221" s="141">
        <f>[1]Source!F74</f>
        <v>0</v>
      </c>
      <c r="G221" s="141">
        <f>[1]Source!G74</f>
        <v>0</v>
      </c>
      <c r="H221" s="141">
        <f>[1]Source!H74</f>
        <v>0</v>
      </c>
      <c r="I221" s="141">
        <f>[1]Source!I74</f>
        <v>0</v>
      </c>
      <c r="J221" s="141">
        <f>[1]Source!J74</f>
        <v>0</v>
      </c>
      <c r="K221" s="141">
        <f>[1]Source!K74</f>
        <v>0</v>
      </c>
      <c r="L221" s="141">
        <f>[1]Source!L74</f>
        <v>0</v>
      </c>
      <c r="M221" s="141">
        <f>[1]Source!M74</f>
        <v>0</v>
      </c>
      <c r="N221" s="141">
        <f>[1]Source!N74</f>
        <v>0</v>
      </c>
      <c r="O221" s="141">
        <f>[1]Source!O74</f>
        <v>0</v>
      </c>
      <c r="P221" s="14">
        <f t="shared" si="73"/>
        <v>0</v>
      </c>
      <c r="Q221" s="17">
        <f t="shared" si="74"/>
        <v>0</v>
      </c>
      <c r="R221" s="14">
        <f t="shared" si="75"/>
        <v>0</v>
      </c>
      <c r="T221" s="17">
        <f t="shared" si="76"/>
        <v>0</v>
      </c>
      <c r="U221" s="14">
        <f>SUM(T219:T221)</f>
        <v>0</v>
      </c>
    </row>
    <row r="222" spans="1:23">
      <c r="A222" s="27" t="s">
        <v>86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7">
        <v>0</v>
      </c>
      <c r="P222" s="14">
        <f t="shared" si="73"/>
        <v>0</v>
      </c>
      <c r="Q222" s="17">
        <f t="shared" si="74"/>
        <v>0</v>
      </c>
      <c r="R222" s="14">
        <f>P237-Q237</f>
        <v>0</v>
      </c>
      <c r="T222" s="17">
        <f t="shared" si="76"/>
        <v>0</v>
      </c>
      <c r="U222" s="14"/>
      <c r="W222" s="19"/>
    </row>
    <row r="223" spans="1:23">
      <c r="A223" s="27" t="s">
        <v>87</v>
      </c>
      <c r="B223" s="18"/>
      <c r="C223" s="17">
        <v>0</v>
      </c>
      <c r="D223" s="17">
        <v>0</v>
      </c>
      <c r="E223" s="17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0</v>
      </c>
      <c r="K223" s="17">
        <v>0</v>
      </c>
      <c r="L223" s="17">
        <v>0</v>
      </c>
      <c r="M223" s="17">
        <v>0</v>
      </c>
      <c r="N223" s="17">
        <v>0</v>
      </c>
      <c r="O223" s="17">
        <v>0</v>
      </c>
      <c r="P223" s="14">
        <f t="shared" si="73"/>
        <v>0</v>
      </c>
      <c r="Q223" s="17">
        <f t="shared" si="74"/>
        <v>0</v>
      </c>
      <c r="R223" s="14">
        <f t="shared" ref="R223:R245" si="78">P223-Q223</f>
        <v>0</v>
      </c>
      <c r="T223" s="17">
        <f t="shared" si="76"/>
        <v>0</v>
      </c>
      <c r="U223" s="14"/>
      <c r="W223" s="19"/>
    </row>
    <row r="224" spans="1:23">
      <c r="A224" s="27" t="s">
        <v>76</v>
      </c>
      <c r="B224" s="18"/>
      <c r="C224" s="17">
        <v>0</v>
      </c>
      <c r="D224" s="141">
        <f>[1]Source!D24</f>
        <v>0</v>
      </c>
      <c r="E224" s="141">
        <f>[1]Source!E24</f>
        <v>0</v>
      </c>
      <c r="F224" s="141">
        <f>[1]Source!F24</f>
        <v>0</v>
      </c>
      <c r="G224" s="141">
        <f>[1]Source!G24</f>
        <v>0</v>
      </c>
      <c r="H224" s="141">
        <f>[1]Source!H24</f>
        <v>0</v>
      </c>
      <c r="I224" s="141">
        <f>[1]Source!I24</f>
        <v>0</v>
      </c>
      <c r="J224" s="141">
        <f>[1]Source!J24</f>
        <v>0</v>
      </c>
      <c r="K224" s="141">
        <f>[1]Source!K24</f>
        <v>0</v>
      </c>
      <c r="L224" s="141">
        <f>[1]Source!L24</f>
        <v>0</v>
      </c>
      <c r="M224" s="141">
        <f>[1]Source!M24</f>
        <v>0</v>
      </c>
      <c r="N224" s="141">
        <f>[1]Source!N24</f>
        <v>0</v>
      </c>
      <c r="O224" s="141">
        <f>[1]Source!O24</f>
        <v>0</v>
      </c>
      <c r="P224" s="14">
        <f t="shared" si="73"/>
        <v>0</v>
      </c>
      <c r="Q224" s="17">
        <f t="shared" si="74"/>
        <v>0</v>
      </c>
      <c r="R224" s="14">
        <f t="shared" si="78"/>
        <v>0</v>
      </c>
      <c r="T224" s="17">
        <f t="shared" si="76"/>
        <v>0</v>
      </c>
      <c r="U224" s="14">
        <f>SUM(T222:T224)</f>
        <v>0</v>
      </c>
      <c r="W224" s="19"/>
    </row>
    <row r="225" spans="1:23">
      <c r="A225" s="27" t="s">
        <v>498</v>
      </c>
      <c r="C225" s="17">
        <v>1940</v>
      </c>
      <c r="D225" s="14">
        <f>-[1]Source!D57</f>
        <v>-2</v>
      </c>
      <c r="E225" s="14">
        <f>-[1]Source!E57</f>
        <v>-3</v>
      </c>
      <c r="F225" s="187">
        <f>-[1]Source!F57-1</f>
        <v>-3</v>
      </c>
      <c r="G225" s="187">
        <f>-[1]Source!G57+1</f>
        <v>-2</v>
      </c>
      <c r="H225" s="187">
        <f>-[1]Source!H57-1</f>
        <v>-3</v>
      </c>
      <c r="I225" s="14">
        <f>-[1]Source!I57</f>
        <v>-3</v>
      </c>
      <c r="J225" s="187">
        <f>-[1]Source!J57-1</f>
        <v>-3</v>
      </c>
      <c r="K225" s="14">
        <f>-[1]Source!K57</f>
        <v>-3</v>
      </c>
      <c r="L225" s="14">
        <f>-[1]Source!L57</f>
        <v>-2</v>
      </c>
      <c r="M225" s="14">
        <f>-[1]Source!M57</f>
        <v>-3</v>
      </c>
      <c r="N225" s="14">
        <f>-[1]Source!N57</f>
        <v>-2</v>
      </c>
      <c r="O225" s="14">
        <f>-[1]Source!O57</f>
        <v>-3</v>
      </c>
      <c r="P225" s="14">
        <f t="shared" si="73"/>
        <v>-32</v>
      </c>
      <c r="Q225" s="17">
        <f t="shared" si="74"/>
        <v>-19</v>
      </c>
      <c r="R225" s="14">
        <f t="shared" si="78"/>
        <v>-13</v>
      </c>
      <c r="T225" s="17">
        <f t="shared" si="76"/>
        <v>1921</v>
      </c>
      <c r="U225" s="14">
        <f>T225</f>
        <v>1921</v>
      </c>
      <c r="W225" s="19"/>
    </row>
    <row r="226" spans="1:23">
      <c r="A226" s="27" t="s">
        <v>587</v>
      </c>
      <c r="C226" s="17">
        <v>0</v>
      </c>
      <c r="D226" s="14">
        <f>[1]Source!D50</f>
        <v>0</v>
      </c>
      <c r="E226" s="187">
        <f>[1]Source!E50+23</f>
        <v>3023</v>
      </c>
      <c r="F226" s="187">
        <f>[1]Source!F50-23</f>
        <v>-50</v>
      </c>
      <c r="G226" s="14">
        <f>[1]Source!G50</f>
        <v>24</v>
      </c>
      <c r="H226" s="14">
        <f>[1]Source!H50</f>
        <v>22</v>
      </c>
      <c r="I226" s="14">
        <f>[1]Source!I50</f>
        <v>23</v>
      </c>
      <c r="J226" s="14">
        <f>[1]Source!J50</f>
        <v>23</v>
      </c>
      <c r="K226" s="14">
        <f>[1]Source!K50</f>
        <v>20</v>
      </c>
      <c r="L226" s="14">
        <f>[1]Source!L50</f>
        <v>20</v>
      </c>
      <c r="M226" s="14">
        <f>[1]Source!M50</f>
        <v>20</v>
      </c>
      <c r="N226" s="14">
        <f>[1]Source!N50</f>
        <v>20</v>
      </c>
      <c r="O226" s="14">
        <f>[1]Source!O50</f>
        <v>21</v>
      </c>
      <c r="P226" s="14">
        <f t="shared" si="73"/>
        <v>3166</v>
      </c>
      <c r="Q226" s="17">
        <f t="shared" si="74"/>
        <v>3065</v>
      </c>
      <c r="R226" s="14">
        <f t="shared" si="78"/>
        <v>101</v>
      </c>
      <c r="T226" s="17">
        <f t="shared" si="76"/>
        <v>3065</v>
      </c>
      <c r="U226" s="14">
        <f>T226</f>
        <v>3065</v>
      </c>
    </row>
    <row r="227" spans="1:23">
      <c r="A227" s="27" t="s">
        <v>88</v>
      </c>
      <c r="C227" s="17">
        <v>23512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4">
        <f t="shared" si="73"/>
        <v>0</v>
      </c>
      <c r="Q227" s="17">
        <f t="shared" si="74"/>
        <v>0</v>
      </c>
      <c r="R227" s="14">
        <f t="shared" si="78"/>
        <v>0</v>
      </c>
      <c r="T227" s="17">
        <f t="shared" si="76"/>
        <v>23512</v>
      </c>
      <c r="U227" s="14"/>
    </row>
    <row r="228" spans="1:23">
      <c r="A228" s="27" t="s">
        <v>89</v>
      </c>
      <c r="B228" s="18" t="s">
        <v>26</v>
      </c>
      <c r="C228" s="17">
        <v>-1690</v>
      </c>
      <c r="D228" s="141">
        <f>[1]Source!D61</f>
        <v>-23</v>
      </c>
      <c r="E228" s="187">
        <f>[1]Source!E61-1</f>
        <v>22</v>
      </c>
      <c r="F228" s="141">
        <f>[1]Source!F61</f>
        <v>-25</v>
      </c>
      <c r="G228" s="141">
        <f>[1]Source!G61</f>
        <v>-72</v>
      </c>
      <c r="H228" s="187">
        <f>[1]Source!H61+1</f>
        <v>-27</v>
      </c>
      <c r="I228" s="141">
        <f>[1]Source!I61</f>
        <v>-27</v>
      </c>
      <c r="J228" s="141">
        <f>[1]Source!J61</f>
        <v>-27</v>
      </c>
      <c r="K228" s="141">
        <f>[1]Source!K61</f>
        <v>-27</v>
      </c>
      <c r="L228" s="141">
        <f>[1]Source!L61</f>
        <v>-27</v>
      </c>
      <c r="M228" s="141">
        <f>[1]Source!M61</f>
        <v>-27</v>
      </c>
      <c r="N228" s="141">
        <f>[1]Source!N61</f>
        <v>-27</v>
      </c>
      <c r="O228" s="141">
        <f>[1]Source!O61</f>
        <v>-27</v>
      </c>
      <c r="P228" s="14">
        <f t="shared" si="73"/>
        <v>-314</v>
      </c>
      <c r="Q228" s="17">
        <f t="shared" si="74"/>
        <v>-179</v>
      </c>
      <c r="R228" s="14">
        <f t="shared" si="78"/>
        <v>-135</v>
      </c>
      <c r="T228" s="17">
        <f t="shared" si="76"/>
        <v>-1869</v>
      </c>
      <c r="U228" s="14">
        <f>SUM(T227:T228)</f>
        <v>21643</v>
      </c>
      <c r="W228" s="19"/>
    </row>
    <row r="229" spans="1:23">
      <c r="A229" s="27" t="s">
        <v>90</v>
      </c>
      <c r="B229" s="18" t="s">
        <v>26</v>
      </c>
      <c r="C229" s="17">
        <v>41375</v>
      </c>
      <c r="D229" s="141">
        <f>-[1]Source!D32</f>
        <v>143</v>
      </c>
      <c r="E229" s="187">
        <f>-[1]Source!E32+1</f>
        <v>144</v>
      </c>
      <c r="F229" s="141">
        <f>-[1]Source!F32</f>
        <v>144</v>
      </c>
      <c r="G229" s="141">
        <f>-[1]Source!G32</f>
        <v>143</v>
      </c>
      <c r="H229" s="187">
        <f>-[1]Source!H32+1</f>
        <v>144</v>
      </c>
      <c r="I229" s="187">
        <f>-[1]Source!I32-1</f>
        <v>143</v>
      </c>
      <c r="J229" s="187">
        <f>-[1]Source!J32+1</f>
        <v>144</v>
      </c>
      <c r="K229" s="141">
        <f>-[1]Source!K32</f>
        <v>144</v>
      </c>
      <c r="L229" s="141">
        <f>-[1]Source!L32</f>
        <v>143</v>
      </c>
      <c r="M229" s="141">
        <f>-[1]Source!M32</f>
        <v>144</v>
      </c>
      <c r="N229" s="141">
        <f>-[1]Source!N32</f>
        <v>-349</v>
      </c>
      <c r="O229" s="141">
        <f>-[1]Source!O32</f>
        <v>-350</v>
      </c>
      <c r="P229" s="14">
        <f t="shared" si="73"/>
        <v>737</v>
      </c>
      <c r="Q229" s="17">
        <f t="shared" si="74"/>
        <v>1005</v>
      </c>
      <c r="R229" s="14">
        <f t="shared" si="78"/>
        <v>-268</v>
      </c>
      <c r="T229" s="17">
        <f t="shared" si="76"/>
        <v>42380</v>
      </c>
      <c r="U229" s="14">
        <f t="shared" ref="U229:U237" si="79">T229</f>
        <v>42380</v>
      </c>
      <c r="W229" s="19"/>
    </row>
    <row r="230" spans="1:23">
      <c r="A230" s="27" t="s">
        <v>91</v>
      </c>
      <c r="B230" s="18"/>
      <c r="C230" s="17">
        <v>2502</v>
      </c>
      <c r="D230" s="186">
        <f>-[1]Source!D27-D91</f>
        <v>315</v>
      </c>
      <c r="E230" s="186">
        <f>-[1]Source!E27-E91</f>
        <v>-61</v>
      </c>
      <c r="F230" s="186">
        <f>-[1]Source!F27-F91</f>
        <v>-60</v>
      </c>
      <c r="G230" s="186">
        <f>-[1]Source!G27-G91</f>
        <v>-60</v>
      </c>
      <c r="H230" s="186">
        <f>-[1]Source!H27-H91</f>
        <v>-61</v>
      </c>
      <c r="I230" s="186">
        <f>-[1]Source!I27-I91</f>
        <v>-60</v>
      </c>
      <c r="J230" s="187">
        <f>-[1]Source!J27-J91-1</f>
        <v>-60</v>
      </c>
      <c r="K230" s="186">
        <f>-[1]Source!K27-K91</f>
        <v>343</v>
      </c>
      <c r="L230" s="186">
        <f>-[1]Source!L27-L91</f>
        <v>-60</v>
      </c>
      <c r="M230" s="186">
        <f>-[1]Source!M27-M91</f>
        <v>-60</v>
      </c>
      <c r="N230" s="186">
        <f>-[1]Source!N27-N91</f>
        <v>-60</v>
      </c>
      <c r="O230" s="227">
        <f>-[1]Source!O27-O91+700</f>
        <v>640</v>
      </c>
      <c r="P230" s="14">
        <f t="shared" si="73"/>
        <v>756</v>
      </c>
      <c r="Q230" s="17">
        <f t="shared" si="74"/>
        <v>-47</v>
      </c>
      <c r="R230" s="14">
        <f t="shared" si="78"/>
        <v>803</v>
      </c>
      <c r="T230" s="17">
        <f t="shared" si="76"/>
        <v>2455</v>
      </c>
      <c r="U230" s="14">
        <f t="shared" si="79"/>
        <v>2455</v>
      </c>
      <c r="W230" s="19"/>
    </row>
    <row r="231" spans="1:23">
      <c r="A231" s="27" t="s">
        <v>491</v>
      </c>
      <c r="B231" s="18" t="s">
        <v>26</v>
      </c>
      <c r="C231" s="17">
        <v>11284</v>
      </c>
      <c r="D231" s="141">
        <f>[1]Source!D29</f>
        <v>-86</v>
      </c>
      <c r="E231" s="141">
        <f>[1]Source!E29</f>
        <v>-85</v>
      </c>
      <c r="F231" s="141">
        <f>[1]Source!F29</f>
        <v>-86</v>
      </c>
      <c r="G231" s="187">
        <f>[1]Source!G29+1</f>
        <v>-85</v>
      </c>
      <c r="H231" s="141">
        <f>[1]Source!H29</f>
        <v>-86</v>
      </c>
      <c r="I231" s="141">
        <f>[1]Source!I29</f>
        <v>-85</v>
      </c>
      <c r="J231" s="141">
        <f>[1]Source!J29</f>
        <v>-86</v>
      </c>
      <c r="K231" s="141">
        <f>[1]Source!K29</f>
        <v>-85</v>
      </c>
      <c r="L231" s="141">
        <f>[1]Source!L29</f>
        <v>-86</v>
      </c>
      <c r="M231" s="141">
        <f>[1]Source!M29</f>
        <v>-85</v>
      </c>
      <c r="N231" s="141">
        <f>[1]Source!N29</f>
        <v>-86</v>
      </c>
      <c r="O231" s="141">
        <f>[1]Source!O29</f>
        <v>-86</v>
      </c>
      <c r="P231" s="14">
        <f t="shared" si="73"/>
        <v>-1027</v>
      </c>
      <c r="Q231" s="17">
        <f t="shared" si="74"/>
        <v>-599</v>
      </c>
      <c r="R231" s="14">
        <f t="shared" si="78"/>
        <v>-428</v>
      </c>
      <c r="T231" s="17">
        <f t="shared" si="76"/>
        <v>10685</v>
      </c>
      <c r="U231" s="14">
        <f t="shared" si="79"/>
        <v>10685</v>
      </c>
      <c r="W231" s="19"/>
    </row>
    <row r="232" spans="1:23">
      <c r="A232" s="27" t="s">
        <v>96</v>
      </c>
      <c r="B232" s="18" t="s">
        <v>26</v>
      </c>
      <c r="C232" s="17">
        <v>26364</v>
      </c>
      <c r="D232" s="186">
        <f>[1]Source!D60-D85</f>
        <v>-219</v>
      </c>
      <c r="E232" s="186">
        <f>[1]Source!E60-E85</f>
        <v>-219</v>
      </c>
      <c r="F232" s="186">
        <f>[1]Source!F60-F85</f>
        <v>-219</v>
      </c>
      <c r="G232" s="187">
        <f>[1]Source!G60-G85-1</f>
        <v>-219</v>
      </c>
      <c r="H232" s="186">
        <f>[1]Source!H60-H85</f>
        <v>-219</v>
      </c>
      <c r="I232" s="187">
        <f>[1]Source!I60-I85+1</f>
        <v>-218</v>
      </c>
      <c r="J232" s="227">
        <f>[1]Source!J60-J85+1023</f>
        <v>-220</v>
      </c>
      <c r="K232" s="186">
        <f>[1]Source!K60-K85</f>
        <v>-217</v>
      </c>
      <c r="L232" s="186">
        <f>[1]Source!L60-L85</f>
        <v>-218</v>
      </c>
      <c r="M232" s="186">
        <f>[1]Source!M60-M85</f>
        <v>-218</v>
      </c>
      <c r="N232" s="186">
        <f>[1]Source!N60-N85</f>
        <v>-219</v>
      </c>
      <c r="O232" s="186">
        <f>[1]Source!O60-O85</f>
        <v>-219</v>
      </c>
      <c r="P232" s="14">
        <f>SUM(D232:O232)</f>
        <v>-2624</v>
      </c>
      <c r="Q232" s="17">
        <f t="shared" si="74"/>
        <v>-1533</v>
      </c>
      <c r="R232" s="14">
        <f>P232-Q232</f>
        <v>-1091</v>
      </c>
      <c r="T232" s="17">
        <f t="shared" si="76"/>
        <v>24831</v>
      </c>
      <c r="U232" s="14">
        <f t="shared" si="79"/>
        <v>24831</v>
      </c>
      <c r="W232" s="19"/>
    </row>
    <row r="233" spans="1:23">
      <c r="A233" s="27" t="s">
        <v>94</v>
      </c>
      <c r="B233" s="18" t="s">
        <v>26</v>
      </c>
      <c r="C233" s="17">
        <v>15312</v>
      </c>
      <c r="D233" s="187">
        <f>[1]Source!D30-D86-1</f>
        <v>-128</v>
      </c>
      <c r="E233" s="186">
        <f>[1]Source!E30-E86</f>
        <v>-127</v>
      </c>
      <c r="F233" s="187">
        <f>[1]Source!F30-F86+1</f>
        <v>-127</v>
      </c>
      <c r="G233" s="186">
        <f>[1]Source!G30-G86</f>
        <v>-127</v>
      </c>
      <c r="H233" s="186">
        <f>[1]Source!H30-H86</f>
        <v>-127</v>
      </c>
      <c r="I233" s="186">
        <f>[1]Source!I30-I86</f>
        <v>-127</v>
      </c>
      <c r="J233" s="186">
        <f>[1]Source!J30-J86</f>
        <v>-127</v>
      </c>
      <c r="K233" s="186">
        <f>[1]Source!K30-K86</f>
        <v>-126</v>
      </c>
      <c r="L233" s="186">
        <f>[1]Source!L30-L86</f>
        <v>-127</v>
      </c>
      <c r="M233" s="186">
        <f>[1]Source!M30-M86</f>
        <v>-126</v>
      </c>
      <c r="N233" s="186">
        <f>[1]Source!N30-N86</f>
        <v>-127</v>
      </c>
      <c r="O233" s="186">
        <f>[1]Source!O30-O86</f>
        <v>-127</v>
      </c>
      <c r="P233" s="14">
        <f>SUM(D233:O233)</f>
        <v>-1523</v>
      </c>
      <c r="Q233" s="17">
        <f t="shared" si="74"/>
        <v>-890</v>
      </c>
      <c r="R233" s="14">
        <f>P233-Q233</f>
        <v>-633</v>
      </c>
      <c r="T233" s="17">
        <f t="shared" si="76"/>
        <v>14422</v>
      </c>
      <c r="U233" s="14">
        <f t="shared" si="79"/>
        <v>14422</v>
      </c>
      <c r="W233" s="19"/>
    </row>
    <row r="234" spans="1:23">
      <c r="A234" s="27" t="s">
        <v>92</v>
      </c>
      <c r="B234" s="18" t="s">
        <v>26</v>
      </c>
      <c r="C234" s="17">
        <v>3797</v>
      </c>
      <c r="D234" s="186">
        <f>[1]Source!D59-D87</f>
        <v>-31</v>
      </c>
      <c r="E234" s="187">
        <f>[1]Source!E59-E87-1</f>
        <v>-32</v>
      </c>
      <c r="F234" s="187">
        <f>[1]Source!F59-F87+1</f>
        <v>-31</v>
      </c>
      <c r="G234" s="187">
        <f>[1]Source!G59-G87-1</f>
        <v>-32</v>
      </c>
      <c r="H234" s="187">
        <f>[1]Source!H59-H87+1</f>
        <v>-31</v>
      </c>
      <c r="I234" s="186">
        <f>[1]Source!I59-I87</f>
        <v>-32</v>
      </c>
      <c r="J234" s="186">
        <f>[1]Source!J59-J87</f>
        <v>-31</v>
      </c>
      <c r="K234" s="186">
        <f>[1]Source!K59-K87</f>
        <v>-31</v>
      </c>
      <c r="L234" s="186">
        <f>[1]Source!L59-L87</f>
        <v>-32</v>
      </c>
      <c r="M234" s="186">
        <f>[1]Source!M59-M87</f>
        <v>-31</v>
      </c>
      <c r="N234" s="186">
        <f>[1]Source!N59-N87</f>
        <v>-32</v>
      </c>
      <c r="O234" s="186">
        <f>[1]Source!O59-O87</f>
        <v>-32</v>
      </c>
      <c r="P234" s="14">
        <f>SUM(D234:O234)</f>
        <v>-378</v>
      </c>
      <c r="Q234" s="17">
        <f t="shared" si="74"/>
        <v>-220</v>
      </c>
      <c r="R234" s="14">
        <f>P234-Q234</f>
        <v>-158</v>
      </c>
      <c r="T234" s="17">
        <f t="shared" si="76"/>
        <v>3577</v>
      </c>
      <c r="U234" s="14">
        <f t="shared" si="79"/>
        <v>3577</v>
      </c>
      <c r="W234" s="19"/>
    </row>
    <row r="235" spans="1:23">
      <c r="A235" s="27" t="s">
        <v>93</v>
      </c>
      <c r="B235" s="18" t="s">
        <v>26</v>
      </c>
      <c r="C235" s="17">
        <v>3378</v>
      </c>
      <c r="D235" s="187">
        <f>[1]Source!D31-D88-14</f>
        <v>-42</v>
      </c>
      <c r="E235" s="186">
        <f>[1]Source!E31-E88</f>
        <v>-28</v>
      </c>
      <c r="F235" s="187">
        <f>[1]Source!F31-F88+1</f>
        <v>-27</v>
      </c>
      <c r="G235" s="187">
        <f>[1]Source!G31-G88+1</f>
        <v>-28</v>
      </c>
      <c r="H235" s="187">
        <f>[1]Source!H31-H88-1</f>
        <v>-29</v>
      </c>
      <c r="I235" s="186">
        <f>[1]Source!I31-I88</f>
        <v>-28</v>
      </c>
      <c r="J235" s="187">
        <f>[1]Source!J31-J88+1</f>
        <v>-27</v>
      </c>
      <c r="K235" s="186">
        <f>[1]Source!K31-K88</f>
        <v>-27</v>
      </c>
      <c r="L235" s="186">
        <f>[1]Source!L31-L88</f>
        <v>-28</v>
      </c>
      <c r="M235" s="186">
        <f>[1]Source!M31-M88</f>
        <v>-28</v>
      </c>
      <c r="N235" s="186">
        <f>[1]Source!N31-N88</f>
        <v>-28</v>
      </c>
      <c r="O235" s="186">
        <f>[1]Source!O31-O88</f>
        <v>-28</v>
      </c>
      <c r="P235" s="14">
        <f t="shared" si="73"/>
        <v>-348</v>
      </c>
      <c r="Q235" s="17">
        <f t="shared" si="74"/>
        <v>-209</v>
      </c>
      <c r="R235" s="14">
        <f t="shared" si="78"/>
        <v>-139</v>
      </c>
      <c r="T235" s="17">
        <f t="shared" si="76"/>
        <v>3169</v>
      </c>
      <c r="U235" s="14">
        <f t="shared" si="79"/>
        <v>3169</v>
      </c>
      <c r="W235" s="19"/>
    </row>
    <row r="236" spans="1:23">
      <c r="A236" s="27" t="s">
        <v>53</v>
      </c>
      <c r="B236" s="18"/>
      <c r="C236" s="17">
        <v>0</v>
      </c>
      <c r="D236" s="17">
        <v>0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4">
        <f t="shared" si="73"/>
        <v>0</v>
      </c>
      <c r="Q236" s="17">
        <f t="shared" si="74"/>
        <v>0</v>
      </c>
      <c r="R236" s="14">
        <f t="shared" si="78"/>
        <v>0</v>
      </c>
      <c r="T236" s="17">
        <f t="shared" si="76"/>
        <v>0</v>
      </c>
      <c r="U236" s="14">
        <f t="shared" si="79"/>
        <v>0</v>
      </c>
    </row>
    <row r="237" spans="1:23">
      <c r="A237" s="27" t="s">
        <v>530</v>
      </c>
      <c r="C237" s="17">
        <v>3687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14">
        <f t="shared" si="73"/>
        <v>0</v>
      </c>
      <c r="Q237" s="17">
        <f t="shared" si="74"/>
        <v>0</v>
      </c>
      <c r="R237" s="14">
        <f t="shared" si="78"/>
        <v>0</v>
      </c>
      <c r="T237" s="17">
        <f t="shared" si="76"/>
        <v>3687</v>
      </c>
      <c r="U237" s="14">
        <f t="shared" si="79"/>
        <v>3687</v>
      </c>
    </row>
    <row r="238" spans="1:23">
      <c r="A238" s="27" t="s">
        <v>496</v>
      </c>
      <c r="B238" s="18"/>
      <c r="C238" s="17">
        <v>67056</v>
      </c>
      <c r="D238" s="187">
        <v>2869</v>
      </c>
      <c r="E238" s="187">
        <v>-6112</v>
      </c>
      <c r="F238" s="187">
        <v>161</v>
      </c>
      <c r="G238" s="187">
        <v>-1025</v>
      </c>
      <c r="H238" s="17">
        <v>-3889</v>
      </c>
      <c r="I238" s="17">
        <v>-2939</v>
      </c>
      <c r="J238" s="17">
        <v>-3030</v>
      </c>
      <c r="K238" s="17">
        <v>-360</v>
      </c>
      <c r="L238" s="17">
        <v>0</v>
      </c>
      <c r="M238" s="17">
        <v>0</v>
      </c>
      <c r="N238" s="17">
        <v>0</v>
      </c>
      <c r="O238" s="17">
        <v>0</v>
      </c>
      <c r="P238" s="14">
        <f t="shared" si="73"/>
        <v>-14325</v>
      </c>
      <c r="Q238" s="17">
        <f t="shared" si="74"/>
        <v>-13965</v>
      </c>
      <c r="R238" s="14">
        <f t="shared" si="78"/>
        <v>-360</v>
      </c>
      <c r="T238" s="17">
        <f t="shared" si="76"/>
        <v>53091</v>
      </c>
      <c r="U238" s="14"/>
    </row>
    <row r="239" spans="1:23">
      <c r="A239" s="27" t="s">
        <v>497</v>
      </c>
      <c r="B239" s="18"/>
      <c r="C239" s="17">
        <v>0</v>
      </c>
      <c r="D239" s="17">
        <v>0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17">
        <v>0</v>
      </c>
      <c r="N239" s="17">
        <v>0</v>
      </c>
      <c r="O239" s="17">
        <v>0</v>
      </c>
      <c r="P239" s="14">
        <f>SUM(D239:O239)</f>
        <v>0</v>
      </c>
      <c r="Q239" s="17">
        <f t="shared" si="74"/>
        <v>0</v>
      </c>
      <c r="R239" s="14">
        <f>P239-Q239</f>
        <v>0</v>
      </c>
      <c r="T239" s="17">
        <f t="shared" si="76"/>
        <v>0</v>
      </c>
      <c r="U239" s="14">
        <f>SUM(T238:T239)</f>
        <v>53091</v>
      </c>
    </row>
    <row r="240" spans="1:23">
      <c r="A240" s="27" t="s">
        <v>95</v>
      </c>
      <c r="B240" s="18" t="s">
        <v>26</v>
      </c>
      <c r="C240" s="17">
        <v>6795</v>
      </c>
      <c r="D240" s="14">
        <f>[1]Source!D35</f>
        <v>-3</v>
      </c>
      <c r="E240" s="187">
        <f>[1]Source!E35+1</f>
        <v>2</v>
      </c>
      <c r="F240" s="14">
        <f>[1]Source!F35</f>
        <v>-2</v>
      </c>
      <c r="G240" s="187">
        <f>[1]Source!G35-2</f>
        <v>2</v>
      </c>
      <c r="H240" s="187">
        <f>[1]Source!H35+1</f>
        <v>20</v>
      </c>
      <c r="I240" s="14">
        <f>[1]Source!I35</f>
        <v>108</v>
      </c>
      <c r="J240" s="14">
        <f>[1]Source!J35</f>
        <v>42</v>
      </c>
      <c r="K240" s="14">
        <f>[1]Source!K35</f>
        <v>45</v>
      </c>
      <c r="L240" s="14">
        <f>[1]Source!L35</f>
        <v>16</v>
      </c>
      <c r="M240" s="14">
        <f>[1]Source!M35</f>
        <v>19</v>
      </c>
      <c r="N240" s="14">
        <f>[1]Source!N35</f>
        <v>3</v>
      </c>
      <c r="O240" s="14">
        <f>[1]Source!O35</f>
        <v>9</v>
      </c>
      <c r="P240" s="14">
        <f t="shared" si="73"/>
        <v>261</v>
      </c>
      <c r="Q240" s="17">
        <f t="shared" si="74"/>
        <v>169</v>
      </c>
      <c r="R240" s="14">
        <f t="shared" si="78"/>
        <v>92</v>
      </c>
      <c r="T240" s="17">
        <f t="shared" si="76"/>
        <v>6964</v>
      </c>
      <c r="U240" s="14">
        <f t="shared" ref="U240:U245" si="80">T240</f>
        <v>6964</v>
      </c>
    </row>
    <row r="241" spans="1:23">
      <c r="A241" s="15" t="s">
        <v>32</v>
      </c>
      <c r="C241" s="17">
        <v>0</v>
      </c>
      <c r="D241" s="17">
        <v>0</v>
      </c>
      <c r="E241" s="17">
        <v>0</v>
      </c>
      <c r="F241" s="17">
        <v>0</v>
      </c>
      <c r="G241" s="17">
        <v>0</v>
      </c>
      <c r="H241" s="17">
        <v>0</v>
      </c>
      <c r="I241" s="17">
        <v>0</v>
      </c>
      <c r="J241" s="17">
        <v>0</v>
      </c>
      <c r="K241" s="17">
        <v>0</v>
      </c>
      <c r="L241" s="17">
        <v>0</v>
      </c>
      <c r="M241" s="17">
        <v>0</v>
      </c>
      <c r="N241" s="17">
        <v>0</v>
      </c>
      <c r="O241" s="17">
        <v>0</v>
      </c>
      <c r="P241" s="14">
        <f>SUM(D241:O241)</f>
        <v>0</v>
      </c>
      <c r="Q241" s="17">
        <f t="shared" si="74"/>
        <v>0</v>
      </c>
      <c r="R241" s="14">
        <f>P241-Q241</f>
        <v>0</v>
      </c>
      <c r="T241" s="17">
        <f t="shared" si="76"/>
        <v>0</v>
      </c>
      <c r="U241" s="14">
        <f t="shared" si="80"/>
        <v>0</v>
      </c>
    </row>
    <row r="242" spans="1:23">
      <c r="A242" s="27" t="s">
        <v>515</v>
      </c>
      <c r="C242" s="17">
        <v>0</v>
      </c>
      <c r="D242" s="17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0</v>
      </c>
      <c r="L242" s="17">
        <v>0</v>
      </c>
      <c r="M242" s="17">
        <v>0</v>
      </c>
      <c r="N242" s="17">
        <v>0</v>
      </c>
      <c r="O242" s="17">
        <v>2000</v>
      </c>
      <c r="P242" s="14">
        <f>SUM(D242:O242)</f>
        <v>2000</v>
      </c>
      <c r="Q242" s="17">
        <f t="shared" si="74"/>
        <v>0</v>
      </c>
      <c r="R242" s="14">
        <f>P242-Q242</f>
        <v>2000</v>
      </c>
      <c r="T242" s="17">
        <f t="shared" si="76"/>
        <v>0</v>
      </c>
      <c r="U242" s="14">
        <f t="shared" si="80"/>
        <v>0</v>
      </c>
    </row>
    <row r="243" spans="1:23">
      <c r="A243" s="27" t="s">
        <v>623</v>
      </c>
      <c r="C243" s="17">
        <v>0</v>
      </c>
      <c r="D243" s="17">
        <v>0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0</v>
      </c>
      <c r="K243" s="17">
        <v>0</v>
      </c>
      <c r="L243" s="17">
        <v>0</v>
      </c>
      <c r="M243" s="17">
        <v>0</v>
      </c>
      <c r="N243" s="17">
        <v>0</v>
      </c>
      <c r="O243" s="175">
        <f>2700-2700+10000-2000</f>
        <v>8000</v>
      </c>
      <c r="P243" s="14">
        <f t="shared" si="73"/>
        <v>8000</v>
      </c>
      <c r="Q243" s="17">
        <f t="shared" si="74"/>
        <v>0</v>
      </c>
      <c r="R243" s="14">
        <f t="shared" si="78"/>
        <v>8000</v>
      </c>
      <c r="T243" s="17">
        <f t="shared" si="76"/>
        <v>0</v>
      </c>
      <c r="U243" s="14">
        <f t="shared" si="80"/>
        <v>0</v>
      </c>
    </row>
    <row r="244" spans="1:23">
      <c r="A244" s="27" t="s">
        <v>633</v>
      </c>
      <c r="C244" s="17">
        <v>0</v>
      </c>
      <c r="D244" s="17">
        <v>0</v>
      </c>
      <c r="E244" s="17">
        <v>0</v>
      </c>
      <c r="F244" s="17">
        <v>0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17">
        <v>0</v>
      </c>
      <c r="N244" s="17">
        <v>0</v>
      </c>
      <c r="O244" s="175">
        <f>4858-4858</f>
        <v>0</v>
      </c>
      <c r="P244" s="14">
        <f t="shared" si="73"/>
        <v>0</v>
      </c>
      <c r="Q244" s="17">
        <f t="shared" si="74"/>
        <v>0</v>
      </c>
      <c r="R244" s="14">
        <f t="shared" si="78"/>
        <v>0</v>
      </c>
      <c r="T244" s="17">
        <f t="shared" si="76"/>
        <v>0</v>
      </c>
      <c r="U244" s="14">
        <f t="shared" si="80"/>
        <v>0</v>
      </c>
    </row>
    <row r="245" spans="1:23">
      <c r="A245" s="27" t="s">
        <v>22</v>
      </c>
      <c r="C245" s="25">
        <v>0</v>
      </c>
      <c r="D245" s="25">
        <v>-1</v>
      </c>
      <c r="E245" s="25">
        <v>1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  <c r="O245" s="25">
        <v>0</v>
      </c>
      <c r="P245" s="16">
        <f t="shared" si="73"/>
        <v>0</v>
      </c>
      <c r="Q245" s="25">
        <f t="shared" si="74"/>
        <v>0</v>
      </c>
      <c r="R245" s="16">
        <f t="shared" si="78"/>
        <v>0</v>
      </c>
      <c r="T245" s="25">
        <f t="shared" si="76"/>
        <v>0</v>
      </c>
      <c r="U245" s="14">
        <f t="shared" si="80"/>
        <v>0</v>
      </c>
      <c r="W245" s="19"/>
    </row>
    <row r="246" spans="1:23" ht="3.95" customHeight="1">
      <c r="C246" s="19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7"/>
      <c r="R246" s="14"/>
      <c r="W246" s="19"/>
    </row>
    <row r="247" spans="1:23">
      <c r="A247" s="26" t="s">
        <v>571</v>
      </c>
      <c r="C247" s="14">
        <f>SUM(C198:C245)</f>
        <v>205563</v>
      </c>
      <c r="D247" s="14">
        <f t="shared" ref="D247:O247" si="81">SUM(D197:D246)</f>
        <v>208335</v>
      </c>
      <c r="E247" s="14">
        <f t="shared" si="81"/>
        <v>204840</v>
      </c>
      <c r="F247" s="14">
        <f t="shared" si="81"/>
        <v>204494</v>
      </c>
      <c r="G247" s="14">
        <f t="shared" si="81"/>
        <v>202992</v>
      </c>
      <c r="H247" s="14">
        <f t="shared" si="81"/>
        <v>198687</v>
      </c>
      <c r="I247" s="14">
        <f t="shared" si="81"/>
        <v>195422</v>
      </c>
      <c r="J247" s="14">
        <f t="shared" si="81"/>
        <v>192000</v>
      </c>
      <c r="K247" s="14">
        <f t="shared" si="81"/>
        <v>191659</v>
      </c>
      <c r="L247" s="14">
        <f t="shared" si="81"/>
        <v>191241</v>
      </c>
      <c r="M247" s="14">
        <f t="shared" si="81"/>
        <v>190924</v>
      </c>
      <c r="N247" s="14">
        <f t="shared" si="81"/>
        <v>190006</v>
      </c>
      <c r="O247" s="14">
        <f t="shared" si="81"/>
        <v>199792</v>
      </c>
      <c r="P247" s="14"/>
      <c r="Q247" s="17"/>
    </row>
    <row r="248" spans="1:23" ht="3.95" customHeight="1">
      <c r="Q248" s="17"/>
    </row>
    <row r="249" spans="1:23">
      <c r="A249" s="27" t="s">
        <v>23</v>
      </c>
      <c r="C249" s="14"/>
      <c r="D249" s="14">
        <f t="shared" ref="D249:O249" si="82">D247-C247</f>
        <v>2772</v>
      </c>
      <c r="E249" s="14">
        <f t="shared" si="82"/>
        <v>-3495</v>
      </c>
      <c r="F249" s="14">
        <f t="shared" si="82"/>
        <v>-346</v>
      </c>
      <c r="G249" s="14">
        <f t="shared" si="82"/>
        <v>-1502</v>
      </c>
      <c r="H249" s="14">
        <f t="shared" si="82"/>
        <v>-4305</v>
      </c>
      <c r="I249" s="14">
        <f t="shared" si="82"/>
        <v>-3265</v>
      </c>
      <c r="J249" s="14">
        <f t="shared" si="82"/>
        <v>-3422</v>
      </c>
      <c r="K249" s="14">
        <f t="shared" si="82"/>
        <v>-341</v>
      </c>
      <c r="L249" s="14">
        <f t="shared" si="82"/>
        <v>-418</v>
      </c>
      <c r="M249" s="14">
        <f t="shared" si="82"/>
        <v>-317</v>
      </c>
      <c r="N249" s="14">
        <f t="shared" si="82"/>
        <v>-918</v>
      </c>
      <c r="O249" s="14">
        <f t="shared" si="82"/>
        <v>9786</v>
      </c>
      <c r="P249" s="14">
        <f>SUM(D249:O249)</f>
        <v>-5771</v>
      </c>
      <c r="Q249" s="14">
        <f>SUM(Q198:Q245)</f>
        <v>-13563</v>
      </c>
      <c r="R249" s="14">
        <f>P249-Q249</f>
        <v>7792</v>
      </c>
    </row>
    <row r="250" spans="1:23">
      <c r="A250"/>
      <c r="Q250" s="17"/>
    </row>
    <row r="251" spans="1:23" ht="8.1" customHeight="1">
      <c r="Q251" s="17"/>
    </row>
    <row r="252" spans="1:23">
      <c r="A252" s="26" t="s">
        <v>97</v>
      </c>
      <c r="C252" s="14"/>
      <c r="D252" s="14">
        <f t="shared" ref="D252:O252" si="83">C268</f>
        <v>9150</v>
      </c>
      <c r="E252" s="14">
        <f t="shared" si="83"/>
        <v>8391</v>
      </c>
      <c r="F252" s="14">
        <f t="shared" si="83"/>
        <v>10015</v>
      </c>
      <c r="G252" s="14">
        <f t="shared" si="83"/>
        <v>9127</v>
      </c>
      <c r="H252" s="14">
        <f t="shared" si="83"/>
        <v>9335</v>
      </c>
      <c r="I252" s="14">
        <f t="shared" si="83"/>
        <v>9572</v>
      </c>
      <c r="J252" s="14">
        <f t="shared" si="83"/>
        <v>10257</v>
      </c>
      <c r="K252" s="14">
        <f t="shared" si="83"/>
        <v>10958</v>
      </c>
      <c r="L252" s="14">
        <f t="shared" si="83"/>
        <v>10960</v>
      </c>
      <c r="M252" s="14">
        <f t="shared" si="83"/>
        <v>10959</v>
      </c>
      <c r="N252" s="14">
        <f t="shared" si="83"/>
        <v>10960</v>
      </c>
      <c r="O252" s="14">
        <f t="shared" si="83"/>
        <v>10889</v>
      </c>
      <c r="P252" s="14"/>
      <c r="Q252" s="17"/>
    </row>
    <row r="253" spans="1:23">
      <c r="A253" s="27" t="s">
        <v>98</v>
      </c>
      <c r="B253" s="18" t="s">
        <v>26</v>
      </c>
      <c r="C253" s="17">
        <v>2238</v>
      </c>
      <c r="D253" s="14">
        <f>[1]Source!D47</f>
        <v>-39</v>
      </c>
      <c r="E253" s="14">
        <f>[1]Source!E47</f>
        <v>-38</v>
      </c>
      <c r="F253" s="14">
        <f>[1]Source!F47</f>
        <v>-39</v>
      </c>
      <c r="G253" s="14">
        <f>[1]Source!G47</f>
        <v>-38</v>
      </c>
      <c r="H253" s="14">
        <f>[1]Source!H47</f>
        <v>-39</v>
      </c>
      <c r="I253" s="14">
        <f>[1]Source!I47</f>
        <v>-38</v>
      </c>
      <c r="J253" s="14">
        <f>[1]Source!J47</f>
        <v>-39</v>
      </c>
      <c r="K253" s="14">
        <f>[1]Source!K47</f>
        <v>-38</v>
      </c>
      <c r="L253" s="14">
        <f>[1]Source!L47</f>
        <v>-39</v>
      </c>
      <c r="M253" s="14">
        <f>[1]Source!M47</f>
        <v>-38</v>
      </c>
      <c r="N253" s="14">
        <f>[1]Source!N47</f>
        <v>-39</v>
      </c>
      <c r="O253" s="14">
        <f>[1]Source!O47</f>
        <v>-39</v>
      </c>
      <c r="P253" s="14">
        <f t="shared" ref="P253:P266" si="84">SUM(D253:O253)</f>
        <v>-463</v>
      </c>
      <c r="Q253" s="17">
        <f t="shared" ref="Q253:Q266" si="85">SUM(D253:J253)</f>
        <v>-270</v>
      </c>
      <c r="R253" s="14">
        <f t="shared" ref="R253:R266" si="86">P253-Q253</f>
        <v>-193</v>
      </c>
    </row>
    <row r="254" spans="1:23">
      <c r="A254" s="27" t="s">
        <v>504</v>
      </c>
      <c r="C254" s="17">
        <v>4208</v>
      </c>
      <c r="D254" s="225">
        <f>-46-638</f>
        <v>-684</v>
      </c>
      <c r="E254" s="225">
        <v>1693</v>
      </c>
      <c r="F254" s="225">
        <v>-817</v>
      </c>
      <c r="G254" s="225">
        <v>277</v>
      </c>
      <c r="H254" s="225">
        <v>308</v>
      </c>
      <c r="I254" s="17">
        <v>754</v>
      </c>
      <c r="J254" s="17">
        <v>771</v>
      </c>
      <c r="K254" s="17">
        <v>70</v>
      </c>
      <c r="L254" s="17">
        <v>70</v>
      </c>
      <c r="M254" s="17">
        <v>70</v>
      </c>
      <c r="N254" s="17">
        <v>0</v>
      </c>
      <c r="O254" s="225">
        <v>-700</v>
      </c>
      <c r="P254" s="14">
        <f t="shared" si="84"/>
        <v>1812</v>
      </c>
      <c r="Q254" s="17">
        <f t="shared" si="85"/>
        <v>2302</v>
      </c>
      <c r="R254" s="14">
        <f t="shared" si="86"/>
        <v>-490</v>
      </c>
    </row>
    <row r="255" spans="1:23">
      <c r="A255" s="27" t="s">
        <v>545</v>
      </c>
      <c r="C255" s="17">
        <v>0</v>
      </c>
      <c r="D255" s="17">
        <v>0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0</v>
      </c>
      <c r="M255" s="17">
        <v>0</v>
      </c>
      <c r="N255" s="17">
        <v>0</v>
      </c>
      <c r="O255" s="17">
        <v>0</v>
      </c>
      <c r="P255" s="14">
        <f>SUM(D255:O255)</f>
        <v>0</v>
      </c>
      <c r="Q255" s="17">
        <f t="shared" si="85"/>
        <v>0</v>
      </c>
      <c r="R255" s="14">
        <f>P255-Q255</f>
        <v>0</v>
      </c>
    </row>
    <row r="256" spans="1:23">
      <c r="A256" s="27" t="s">
        <v>546</v>
      </c>
      <c r="C256" s="17">
        <v>0</v>
      </c>
      <c r="D256" s="17">
        <v>0</v>
      </c>
      <c r="E256" s="17">
        <v>0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0</v>
      </c>
      <c r="L256" s="17">
        <v>0</v>
      </c>
      <c r="M256" s="17">
        <v>0</v>
      </c>
      <c r="N256" s="17">
        <v>0</v>
      </c>
      <c r="O256" s="17">
        <v>0</v>
      </c>
      <c r="P256" s="14">
        <f t="shared" si="84"/>
        <v>0</v>
      </c>
      <c r="Q256" s="17">
        <f t="shared" si="85"/>
        <v>0</v>
      </c>
      <c r="R256" s="14">
        <f t="shared" si="86"/>
        <v>0</v>
      </c>
    </row>
    <row r="257" spans="1:18">
      <c r="A257" s="27" t="s">
        <v>99</v>
      </c>
      <c r="C257" s="17">
        <v>1350</v>
      </c>
      <c r="D257" s="17">
        <v>-14</v>
      </c>
      <c r="E257" s="17">
        <v>-13</v>
      </c>
      <c r="F257" s="17">
        <v>-14</v>
      </c>
      <c r="G257" s="17">
        <v>-14</v>
      </c>
      <c r="H257" s="17">
        <v>-14</v>
      </c>
      <c r="I257" s="17">
        <v>-13</v>
      </c>
      <c r="J257" s="17">
        <v>-13</v>
      </c>
      <c r="K257" s="17">
        <v>-13</v>
      </c>
      <c r="L257" s="17">
        <v>-14</v>
      </c>
      <c r="M257" s="17">
        <v>-13</v>
      </c>
      <c r="N257" s="17">
        <v>-14</v>
      </c>
      <c r="O257" s="17">
        <v>-13</v>
      </c>
      <c r="P257" s="14">
        <f t="shared" si="84"/>
        <v>-162</v>
      </c>
      <c r="Q257" s="17">
        <f t="shared" si="85"/>
        <v>-95</v>
      </c>
      <c r="R257" s="14">
        <f t="shared" si="86"/>
        <v>-67</v>
      </c>
    </row>
    <row r="258" spans="1:18">
      <c r="A258" s="27" t="s">
        <v>544</v>
      </c>
      <c r="C258" s="17">
        <v>352</v>
      </c>
      <c r="D258" s="17">
        <v>-7</v>
      </c>
      <c r="E258" s="17">
        <v>-7</v>
      </c>
      <c r="F258" s="17">
        <v>-7</v>
      </c>
      <c r="G258" s="17">
        <v>-6</v>
      </c>
      <c r="H258" s="17">
        <v>-7</v>
      </c>
      <c r="I258" s="17">
        <v>-7</v>
      </c>
      <c r="J258" s="17">
        <v>-7</v>
      </c>
      <c r="K258" s="17">
        <v>-6</v>
      </c>
      <c r="L258" s="17">
        <v>-7</v>
      </c>
      <c r="M258" s="17">
        <v>-7</v>
      </c>
      <c r="N258" s="17">
        <v>-7</v>
      </c>
      <c r="O258" s="17">
        <v>-6</v>
      </c>
      <c r="P258" s="14">
        <f t="shared" si="84"/>
        <v>-81</v>
      </c>
      <c r="Q258" s="17">
        <f t="shared" si="85"/>
        <v>-48</v>
      </c>
      <c r="R258" s="14">
        <f t="shared" si="86"/>
        <v>-33</v>
      </c>
    </row>
    <row r="259" spans="1:18">
      <c r="A259" s="27" t="s">
        <v>547</v>
      </c>
      <c r="C259" s="17">
        <v>998</v>
      </c>
      <c r="D259" s="17">
        <v>-11</v>
      </c>
      <c r="E259" s="17">
        <v>-11</v>
      </c>
      <c r="F259" s="17">
        <v>-11</v>
      </c>
      <c r="G259" s="17">
        <v>-11</v>
      </c>
      <c r="H259" s="17">
        <v>-11</v>
      </c>
      <c r="I259" s="17">
        <v>-11</v>
      </c>
      <c r="J259" s="17">
        <v>-11</v>
      </c>
      <c r="K259" s="17">
        <v>-11</v>
      </c>
      <c r="L259" s="17">
        <v>-11</v>
      </c>
      <c r="M259" s="17">
        <v>-11</v>
      </c>
      <c r="N259" s="17">
        <v>-11</v>
      </c>
      <c r="O259" s="17">
        <v>-10</v>
      </c>
      <c r="P259" s="14">
        <f t="shared" si="84"/>
        <v>-131</v>
      </c>
      <c r="Q259" s="17">
        <f t="shared" si="85"/>
        <v>-77</v>
      </c>
      <c r="R259" s="14">
        <f t="shared" si="86"/>
        <v>-54</v>
      </c>
    </row>
    <row r="260" spans="1:18">
      <c r="A260" s="27" t="s">
        <v>32</v>
      </c>
      <c r="C260" s="17">
        <v>0</v>
      </c>
      <c r="D260" s="17">
        <v>0</v>
      </c>
      <c r="E260" s="17">
        <v>0</v>
      </c>
      <c r="F260" s="17">
        <v>0</v>
      </c>
      <c r="G260" s="17">
        <v>0</v>
      </c>
      <c r="H260" s="17">
        <v>0</v>
      </c>
      <c r="I260" s="17">
        <v>0</v>
      </c>
      <c r="J260" s="17">
        <v>0</v>
      </c>
      <c r="K260" s="17">
        <v>0</v>
      </c>
      <c r="L260" s="17">
        <v>0</v>
      </c>
      <c r="M260" s="17">
        <v>0</v>
      </c>
      <c r="N260" s="17">
        <v>0</v>
      </c>
      <c r="O260" s="17">
        <v>0</v>
      </c>
      <c r="P260" s="14">
        <f t="shared" si="84"/>
        <v>0</v>
      </c>
      <c r="Q260" s="17">
        <f t="shared" si="85"/>
        <v>0</v>
      </c>
      <c r="R260" s="14">
        <f t="shared" si="86"/>
        <v>0</v>
      </c>
    </row>
    <row r="261" spans="1:18">
      <c r="A261" s="27" t="s">
        <v>32</v>
      </c>
      <c r="B261" s="18"/>
      <c r="C261" s="17">
        <v>0</v>
      </c>
      <c r="D261" s="17">
        <v>0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0</v>
      </c>
      <c r="M261" s="17">
        <v>0</v>
      </c>
      <c r="N261" s="17">
        <v>0</v>
      </c>
      <c r="O261" s="17">
        <v>0</v>
      </c>
      <c r="P261" s="14">
        <f t="shared" si="84"/>
        <v>0</v>
      </c>
      <c r="Q261" s="17">
        <f t="shared" si="85"/>
        <v>0</v>
      </c>
      <c r="R261" s="14">
        <f t="shared" si="86"/>
        <v>0</v>
      </c>
    </row>
    <row r="262" spans="1:18">
      <c r="A262" s="27" t="s">
        <v>107</v>
      </c>
      <c r="C262" s="17">
        <v>4</v>
      </c>
      <c r="D262" s="17">
        <v>-4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  <c r="O262" s="17">
        <v>0</v>
      </c>
      <c r="P262" s="14">
        <f t="shared" si="84"/>
        <v>-4</v>
      </c>
      <c r="Q262" s="17">
        <f t="shared" si="85"/>
        <v>-4</v>
      </c>
      <c r="R262" s="14">
        <f t="shared" si="86"/>
        <v>0</v>
      </c>
    </row>
    <row r="263" spans="1:18">
      <c r="A263" s="27" t="s">
        <v>535</v>
      </c>
      <c r="C263" s="17">
        <v>0</v>
      </c>
      <c r="D263" s="17">
        <v>0</v>
      </c>
      <c r="E263" s="17">
        <v>0</v>
      </c>
      <c r="F263" s="17">
        <v>0</v>
      </c>
      <c r="G263" s="17">
        <v>0</v>
      </c>
      <c r="H263" s="17">
        <v>0</v>
      </c>
      <c r="I263" s="17">
        <v>0</v>
      </c>
      <c r="J263" s="175">
        <v>0</v>
      </c>
      <c r="K263" s="175">
        <v>0</v>
      </c>
      <c r="L263" s="175">
        <f>1250-1045-205</f>
        <v>0</v>
      </c>
      <c r="M263" s="175">
        <v>0</v>
      </c>
      <c r="N263" s="175">
        <v>0</v>
      </c>
      <c r="O263" s="175">
        <f>1250+22-1272</f>
        <v>0</v>
      </c>
      <c r="P263" s="14">
        <f t="shared" si="84"/>
        <v>0</v>
      </c>
      <c r="Q263" s="17">
        <f t="shared" si="85"/>
        <v>0</v>
      </c>
      <c r="R263" s="14">
        <f t="shared" si="86"/>
        <v>0</v>
      </c>
    </row>
    <row r="264" spans="1:18">
      <c r="A264" s="27" t="s">
        <v>534</v>
      </c>
      <c r="C264" s="17">
        <v>0</v>
      </c>
      <c r="D264" s="17">
        <v>0</v>
      </c>
      <c r="E264" s="17">
        <v>0</v>
      </c>
      <c r="F264" s="17">
        <v>0</v>
      </c>
      <c r="G264" s="17">
        <v>0</v>
      </c>
      <c r="H264" s="17">
        <v>0</v>
      </c>
      <c r="I264" s="17">
        <v>0</v>
      </c>
      <c r="J264" s="175">
        <f>342-168-174</f>
        <v>0</v>
      </c>
      <c r="K264" s="175">
        <f>342-168-174</f>
        <v>0</v>
      </c>
      <c r="L264" s="175">
        <f>342+133-375-100</f>
        <v>0</v>
      </c>
      <c r="M264" s="175">
        <f>342-169-173</f>
        <v>0</v>
      </c>
      <c r="N264" s="175">
        <f>342-167-175</f>
        <v>0</v>
      </c>
      <c r="O264" s="175">
        <f>362+713-975-100</f>
        <v>0</v>
      </c>
      <c r="P264" s="14">
        <f t="shared" si="84"/>
        <v>0</v>
      </c>
      <c r="Q264" s="17">
        <f t="shared" si="85"/>
        <v>0</v>
      </c>
      <c r="R264" s="14">
        <f t="shared" si="86"/>
        <v>0</v>
      </c>
    </row>
    <row r="265" spans="1:18">
      <c r="A265" s="27" t="s">
        <v>100</v>
      </c>
      <c r="C265" s="17">
        <v>0</v>
      </c>
      <c r="D265" s="17">
        <v>0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17">
        <v>0</v>
      </c>
      <c r="L265" s="17">
        <v>0</v>
      </c>
      <c r="M265" s="17">
        <v>0</v>
      </c>
      <c r="N265" s="17">
        <v>0</v>
      </c>
      <c r="O265" s="17">
        <v>0</v>
      </c>
      <c r="P265" s="14">
        <f t="shared" si="84"/>
        <v>0</v>
      </c>
      <c r="Q265" s="17">
        <f t="shared" si="85"/>
        <v>0</v>
      </c>
      <c r="R265" s="14">
        <f t="shared" si="86"/>
        <v>0</v>
      </c>
    </row>
    <row r="266" spans="1:18">
      <c r="A266" s="27" t="s">
        <v>22</v>
      </c>
      <c r="C266" s="25">
        <v>0</v>
      </c>
      <c r="D266" s="25">
        <v>0</v>
      </c>
      <c r="E266" s="25">
        <v>0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  <c r="L266" s="25">
        <v>0</v>
      </c>
      <c r="M266" s="25">
        <v>0</v>
      </c>
      <c r="N266" s="25">
        <v>0</v>
      </c>
      <c r="O266" s="25">
        <v>0</v>
      </c>
      <c r="P266" s="16">
        <f t="shared" si="84"/>
        <v>0</v>
      </c>
      <c r="Q266" s="25">
        <f t="shared" si="85"/>
        <v>0</v>
      </c>
      <c r="R266" s="16">
        <f t="shared" si="86"/>
        <v>0</v>
      </c>
    </row>
    <row r="267" spans="1:18" ht="3.95" customHeight="1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1:18">
      <c r="A268" s="26" t="s">
        <v>101</v>
      </c>
      <c r="C268" s="14">
        <f>SUM(C253:C267)</f>
        <v>9150</v>
      </c>
      <c r="D268" s="14">
        <f t="shared" ref="D268:O268" si="87">SUM(D252:D267)</f>
        <v>8391</v>
      </c>
      <c r="E268" s="14">
        <f t="shared" si="87"/>
        <v>10015</v>
      </c>
      <c r="F268" s="14">
        <f t="shared" si="87"/>
        <v>9127</v>
      </c>
      <c r="G268" s="14">
        <f t="shared" si="87"/>
        <v>9335</v>
      </c>
      <c r="H268" s="14">
        <f t="shared" si="87"/>
        <v>9572</v>
      </c>
      <c r="I268" s="14">
        <f t="shared" si="87"/>
        <v>10257</v>
      </c>
      <c r="J268" s="14">
        <f t="shared" si="87"/>
        <v>10958</v>
      </c>
      <c r="K268" s="14">
        <f t="shared" si="87"/>
        <v>10960</v>
      </c>
      <c r="L268" s="14">
        <f t="shared" si="87"/>
        <v>10959</v>
      </c>
      <c r="M268" s="14">
        <f t="shared" si="87"/>
        <v>10960</v>
      </c>
      <c r="N268" s="14">
        <f t="shared" si="87"/>
        <v>10889</v>
      </c>
      <c r="O268" s="14">
        <f t="shared" si="87"/>
        <v>10121</v>
      </c>
      <c r="P268" s="14"/>
    </row>
    <row r="269" spans="1:18" ht="3.95" customHeight="1"/>
    <row r="270" spans="1:18">
      <c r="A270" s="27" t="s">
        <v>23</v>
      </c>
      <c r="C270" s="14"/>
      <c r="D270" s="14">
        <f t="shared" ref="D270:O270" si="88">D268-C268</f>
        <v>-759</v>
      </c>
      <c r="E270" s="14">
        <f t="shared" si="88"/>
        <v>1624</v>
      </c>
      <c r="F270" s="14">
        <f t="shared" si="88"/>
        <v>-888</v>
      </c>
      <c r="G270" s="14">
        <f t="shared" si="88"/>
        <v>208</v>
      </c>
      <c r="H270" s="14">
        <f t="shared" si="88"/>
        <v>237</v>
      </c>
      <c r="I270" s="14">
        <f t="shared" si="88"/>
        <v>685</v>
      </c>
      <c r="J270" s="14">
        <f t="shared" si="88"/>
        <v>701</v>
      </c>
      <c r="K270" s="14">
        <f t="shared" si="88"/>
        <v>2</v>
      </c>
      <c r="L270" s="14">
        <f t="shared" si="88"/>
        <v>-1</v>
      </c>
      <c r="M270" s="14">
        <f t="shared" si="88"/>
        <v>1</v>
      </c>
      <c r="N270" s="14">
        <f t="shared" si="88"/>
        <v>-71</v>
      </c>
      <c r="O270" s="14">
        <f t="shared" si="88"/>
        <v>-768</v>
      </c>
      <c r="P270" s="14">
        <f>SUM(D270:O270)</f>
        <v>971</v>
      </c>
      <c r="Q270" s="14">
        <f>SUM(Q253:Q267)</f>
        <v>1808</v>
      </c>
      <c r="R270" s="14">
        <f>P270-Q270</f>
        <v>-837</v>
      </c>
    </row>
    <row r="271" spans="1:18" ht="6" customHeight="1"/>
    <row r="272" spans="1:18">
      <c r="A272" s="7" t="s">
        <v>102</v>
      </c>
      <c r="C272" s="20">
        <f t="shared" ref="C272:O272" si="89">C13+C33+C41+C49+C56+C63+C72+C97+C111+C123+C132+C144+C161-C176+C184+C192+C247+C268-C473-C308</f>
        <v>2056033</v>
      </c>
      <c r="D272" s="20">
        <f t="shared" si="89"/>
        <v>2144174</v>
      </c>
      <c r="E272" s="20">
        <f t="shared" si="89"/>
        <v>2117619</v>
      </c>
      <c r="F272" s="20">
        <f t="shared" si="89"/>
        <v>2119251</v>
      </c>
      <c r="G272" s="20">
        <f t="shared" si="89"/>
        <v>2139763</v>
      </c>
      <c r="H272" s="20">
        <f t="shared" si="89"/>
        <v>2113806</v>
      </c>
      <c r="I272" s="20">
        <f t="shared" si="89"/>
        <v>2098426</v>
      </c>
      <c r="J272" s="20">
        <f t="shared" si="89"/>
        <v>2085765</v>
      </c>
      <c r="K272" s="20">
        <f t="shared" si="89"/>
        <v>2099792</v>
      </c>
      <c r="L272" s="20">
        <f t="shared" si="89"/>
        <v>2101658</v>
      </c>
      <c r="M272" s="20">
        <f t="shared" si="89"/>
        <v>2088443</v>
      </c>
      <c r="N272" s="20">
        <f t="shared" si="89"/>
        <v>2099313</v>
      </c>
      <c r="O272" s="20">
        <f t="shared" si="89"/>
        <v>2096348</v>
      </c>
    </row>
    <row r="273" spans="1:18" ht="6" customHeight="1"/>
    <row r="274" spans="1:18">
      <c r="A274" s="27" t="s">
        <v>103</v>
      </c>
      <c r="D274" s="14">
        <f t="shared" ref="D274:O274" si="90">D272-C272</f>
        <v>88141</v>
      </c>
      <c r="E274" s="14">
        <f t="shared" si="90"/>
        <v>-26555</v>
      </c>
      <c r="F274" s="14">
        <f t="shared" si="90"/>
        <v>1632</v>
      </c>
      <c r="G274" s="14">
        <f t="shared" si="90"/>
        <v>20512</v>
      </c>
      <c r="H274" s="14">
        <f t="shared" si="90"/>
        <v>-25957</v>
      </c>
      <c r="I274" s="14">
        <f t="shared" si="90"/>
        <v>-15380</v>
      </c>
      <c r="J274" s="14">
        <f t="shared" si="90"/>
        <v>-12661</v>
      </c>
      <c r="K274" s="14">
        <f t="shared" si="90"/>
        <v>14027</v>
      </c>
      <c r="L274" s="14">
        <f t="shared" si="90"/>
        <v>1866</v>
      </c>
      <c r="M274" s="14">
        <f t="shared" si="90"/>
        <v>-13215</v>
      </c>
      <c r="N274" s="14">
        <f t="shared" si="90"/>
        <v>10870</v>
      </c>
      <c r="O274" s="14">
        <f t="shared" si="90"/>
        <v>-2965</v>
      </c>
      <c r="P274" s="14">
        <f>SUM(D274:O274)</f>
        <v>40315</v>
      </c>
      <c r="Q274" s="17">
        <f>SUM(D274:J274)</f>
        <v>29732</v>
      </c>
      <c r="R274" s="14">
        <f>P274-Q274</f>
        <v>10583</v>
      </c>
    </row>
    <row r="276" spans="1:18" ht="8.1" customHeight="1"/>
    <row r="279" spans="1:18">
      <c r="A279" s="26" t="s">
        <v>580</v>
      </c>
      <c r="C279" s="175">
        <f>22204-11728</f>
        <v>10476</v>
      </c>
      <c r="D279" s="14">
        <f t="shared" ref="D279:O279" si="91">C299</f>
        <v>31722</v>
      </c>
      <c r="E279" s="14">
        <f t="shared" si="91"/>
        <v>52229</v>
      </c>
      <c r="F279" s="14">
        <f t="shared" si="91"/>
        <v>12858</v>
      </c>
      <c r="G279" s="14">
        <f t="shared" si="91"/>
        <v>24601</v>
      </c>
      <c r="H279" s="14">
        <f t="shared" si="91"/>
        <v>10969</v>
      </c>
      <c r="I279" s="14">
        <f t="shared" si="91"/>
        <v>10668</v>
      </c>
      <c r="J279" s="14">
        <f t="shared" si="91"/>
        <v>12070</v>
      </c>
      <c r="K279" s="14">
        <f t="shared" si="91"/>
        <v>13366</v>
      </c>
      <c r="L279" s="14">
        <f t="shared" si="91"/>
        <v>13824</v>
      </c>
      <c r="M279" s="14">
        <f t="shared" si="91"/>
        <v>13841</v>
      </c>
      <c r="N279" s="14">
        <f t="shared" si="91"/>
        <v>13841</v>
      </c>
      <c r="O279" s="14">
        <f t="shared" si="91"/>
        <v>13841</v>
      </c>
    </row>
    <row r="280" spans="1:18">
      <c r="A280" s="27" t="s">
        <v>25</v>
      </c>
      <c r="C280" s="17">
        <v>-554</v>
      </c>
      <c r="D280" s="14">
        <f t="shared" ref="D280:O280" si="92">-C289</f>
        <v>-617</v>
      </c>
      <c r="E280" s="14">
        <f t="shared" si="92"/>
        <v>-1743</v>
      </c>
      <c r="F280" s="14">
        <f t="shared" si="92"/>
        <v>-1652</v>
      </c>
      <c r="G280" s="14">
        <f t="shared" si="92"/>
        <v>-791</v>
      </c>
      <c r="H280" s="14">
        <f t="shared" si="92"/>
        <v>-1066</v>
      </c>
      <c r="I280" s="14">
        <f t="shared" si="92"/>
        <v>334</v>
      </c>
      <c r="J280" s="14">
        <f t="shared" si="92"/>
        <v>-407</v>
      </c>
      <c r="K280" s="14">
        <f t="shared" si="92"/>
        <v>194</v>
      </c>
      <c r="L280" s="14">
        <f t="shared" si="92"/>
        <v>-264</v>
      </c>
      <c r="M280" s="14">
        <f t="shared" si="92"/>
        <v>-281</v>
      </c>
      <c r="N280" s="14">
        <f t="shared" si="92"/>
        <v>-281</v>
      </c>
      <c r="O280" s="14">
        <f t="shared" si="92"/>
        <v>-281</v>
      </c>
    </row>
    <row r="281" spans="1:18" ht="8.1" customHeight="1">
      <c r="C281" s="17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8">
      <c r="A282" s="27" t="s">
        <v>104</v>
      </c>
      <c r="B282" s="18" t="s">
        <v>26</v>
      </c>
      <c r="C282" s="17">
        <v>0</v>
      </c>
      <c r="D282" s="14">
        <f>[1]Source!D14</f>
        <v>0</v>
      </c>
      <c r="E282" s="14">
        <f>[1]Source!E14</f>
        <v>0</v>
      </c>
      <c r="F282" s="14">
        <f>[1]Source!F14</f>
        <v>0</v>
      </c>
      <c r="G282" s="14">
        <f>[1]Source!G14</f>
        <v>0</v>
      </c>
      <c r="H282" s="14">
        <f>[1]Source!H14</f>
        <v>0</v>
      </c>
      <c r="I282" s="14">
        <f>[1]Source!I14</f>
        <v>0</v>
      </c>
      <c r="J282" s="14">
        <f>[1]Source!J14</f>
        <v>0</v>
      </c>
      <c r="K282" s="14">
        <f>[1]Source!K14</f>
        <v>0</v>
      </c>
      <c r="L282" s="14">
        <f>[1]Source!L14</f>
        <v>0</v>
      </c>
      <c r="M282" s="14">
        <f>[1]Source!M14</f>
        <v>0</v>
      </c>
      <c r="N282" s="14">
        <f>[1]Source!N14</f>
        <v>0</v>
      </c>
      <c r="O282" s="14">
        <f>[1]Source!O14</f>
        <v>0</v>
      </c>
      <c r="P282" s="14">
        <f t="shared" ref="P282:P287" si="93">SUM(D282:O282)</f>
        <v>0</v>
      </c>
      <c r="Q282" s="17">
        <f t="shared" ref="Q282:Q287" si="94">SUM(D282:J282)</f>
        <v>0</v>
      </c>
      <c r="R282" s="14">
        <f t="shared" ref="R282:R287" si="95">P282-Q282</f>
        <v>0</v>
      </c>
    </row>
    <row r="283" spans="1:18">
      <c r="A283" s="15" t="s">
        <v>105</v>
      </c>
      <c r="B283" s="18" t="s">
        <v>26</v>
      </c>
      <c r="C283" s="17">
        <v>617</v>
      </c>
      <c r="D283" s="14">
        <f>[1]Source!D34+[1]Source!D13</f>
        <v>1743</v>
      </c>
      <c r="E283" s="14">
        <f>[1]Source!E34+[1]Source!E13</f>
        <v>1652</v>
      </c>
      <c r="F283" s="14">
        <f>[1]Source!F34+[1]Source!F13</f>
        <v>791</v>
      </c>
      <c r="G283" s="14">
        <f>[1]Source!G34+[1]Source!G13</f>
        <v>1066</v>
      </c>
      <c r="H283" s="14">
        <f>[1]Source!H34+[1]Source!H13</f>
        <v>-334</v>
      </c>
      <c r="I283" s="14">
        <f>[1]Source!I34+[1]Source!I13</f>
        <v>407</v>
      </c>
      <c r="J283" s="14">
        <f>[1]Source!J34+[1]Source!J13</f>
        <v>-194</v>
      </c>
      <c r="K283" s="14">
        <f>[1]Source!K34+[1]Source!K13</f>
        <v>264</v>
      </c>
      <c r="L283" s="14">
        <f>[1]Source!L34+[1]Source!L13</f>
        <v>281</v>
      </c>
      <c r="M283" s="14">
        <f>[1]Source!M34+[1]Source!M13</f>
        <v>281</v>
      </c>
      <c r="N283" s="14">
        <f>[1]Source!N34+[1]Source!N13</f>
        <v>281</v>
      </c>
      <c r="O283" s="14">
        <f>[1]Source!O34+[1]Source!O13</f>
        <v>1012</v>
      </c>
      <c r="P283" s="14">
        <f t="shared" si="93"/>
        <v>7250</v>
      </c>
      <c r="Q283" s="17">
        <f t="shared" si="94"/>
        <v>5131</v>
      </c>
      <c r="R283" s="14">
        <f t="shared" si="95"/>
        <v>2119</v>
      </c>
    </row>
    <row r="284" spans="1:18">
      <c r="A284" s="27" t="s">
        <v>106</v>
      </c>
      <c r="B284" s="18" t="s">
        <v>26</v>
      </c>
      <c r="C284" s="17">
        <v>0</v>
      </c>
      <c r="D284" s="14">
        <f>[1]Source!D15</f>
        <v>0</v>
      </c>
      <c r="E284" s="14">
        <f>[1]Source!E15</f>
        <v>0</v>
      </c>
      <c r="F284" s="14">
        <f>[1]Source!F15</f>
        <v>0</v>
      </c>
      <c r="G284" s="14">
        <f>[1]Source!G15</f>
        <v>0</v>
      </c>
      <c r="H284" s="14">
        <f>[1]Source!H15</f>
        <v>0</v>
      </c>
      <c r="I284" s="14">
        <f>[1]Source!I15</f>
        <v>0</v>
      </c>
      <c r="J284" s="14">
        <f>[1]Source!J15</f>
        <v>0</v>
      </c>
      <c r="K284" s="14">
        <f>[1]Source!K15</f>
        <v>0</v>
      </c>
      <c r="L284" s="14">
        <f>[1]Source!L15</f>
        <v>0</v>
      </c>
      <c r="M284" s="14">
        <f>[1]Source!M15</f>
        <v>0</v>
      </c>
      <c r="N284" s="14">
        <f>[1]Source!N15</f>
        <v>0</v>
      </c>
      <c r="O284" s="14">
        <f>[1]Source!O15</f>
        <v>0</v>
      </c>
      <c r="P284" s="14">
        <f t="shared" si="93"/>
        <v>0</v>
      </c>
      <c r="Q284" s="17">
        <f t="shared" si="94"/>
        <v>0</v>
      </c>
      <c r="R284" s="14">
        <f t="shared" si="95"/>
        <v>0</v>
      </c>
    </row>
    <row r="285" spans="1:18">
      <c r="A285" s="15" t="s">
        <v>32</v>
      </c>
      <c r="C285" s="17">
        <v>0</v>
      </c>
      <c r="D285" s="17">
        <v>0</v>
      </c>
      <c r="E285" s="17">
        <v>0</v>
      </c>
      <c r="F285" s="17">
        <v>0</v>
      </c>
      <c r="G285" s="17">
        <v>0</v>
      </c>
      <c r="H285" s="17">
        <v>0</v>
      </c>
      <c r="I285" s="17">
        <v>0</v>
      </c>
      <c r="J285" s="17">
        <v>0</v>
      </c>
      <c r="K285" s="17">
        <v>0</v>
      </c>
      <c r="L285" s="17">
        <v>0</v>
      </c>
      <c r="M285" s="17">
        <v>0</v>
      </c>
      <c r="N285" s="17">
        <v>0</v>
      </c>
      <c r="O285" s="17">
        <v>0</v>
      </c>
      <c r="P285" s="14">
        <f t="shared" si="93"/>
        <v>0</v>
      </c>
      <c r="Q285" s="17">
        <f t="shared" si="94"/>
        <v>0</v>
      </c>
      <c r="R285" s="14">
        <f t="shared" si="95"/>
        <v>0</v>
      </c>
    </row>
    <row r="286" spans="1:18">
      <c r="A286" s="27" t="s">
        <v>107</v>
      </c>
      <c r="C286" s="17">
        <v>0</v>
      </c>
      <c r="D286" s="17">
        <v>0</v>
      </c>
      <c r="E286" s="17">
        <v>0</v>
      </c>
      <c r="F286" s="17">
        <v>0</v>
      </c>
      <c r="G286" s="17">
        <v>0</v>
      </c>
      <c r="H286" s="17">
        <v>0</v>
      </c>
      <c r="I286" s="17">
        <v>0</v>
      </c>
      <c r="J286" s="17">
        <v>0</v>
      </c>
      <c r="K286" s="17">
        <v>0</v>
      </c>
      <c r="L286" s="17">
        <v>0</v>
      </c>
      <c r="M286" s="17">
        <v>0</v>
      </c>
      <c r="N286" s="17">
        <v>0</v>
      </c>
      <c r="O286" s="17">
        <v>0</v>
      </c>
      <c r="P286" s="14">
        <f t="shared" si="93"/>
        <v>0</v>
      </c>
      <c r="Q286" s="17">
        <f t="shared" si="94"/>
        <v>0</v>
      </c>
      <c r="R286" s="14">
        <f t="shared" si="95"/>
        <v>0</v>
      </c>
    </row>
    <row r="287" spans="1:18">
      <c r="A287" s="27" t="s">
        <v>22</v>
      </c>
      <c r="C287" s="25">
        <v>0</v>
      </c>
      <c r="D287" s="25">
        <v>0</v>
      </c>
      <c r="E287" s="25">
        <v>0</v>
      </c>
      <c r="F287" s="25">
        <v>0</v>
      </c>
      <c r="G287" s="25">
        <v>0</v>
      </c>
      <c r="H287" s="25">
        <v>0</v>
      </c>
      <c r="I287" s="25">
        <v>0</v>
      </c>
      <c r="J287" s="25">
        <v>0</v>
      </c>
      <c r="K287" s="25">
        <v>0</v>
      </c>
      <c r="L287" s="25">
        <v>0</v>
      </c>
      <c r="M287" s="25">
        <v>0</v>
      </c>
      <c r="N287" s="25">
        <v>0</v>
      </c>
      <c r="O287" s="25">
        <v>0</v>
      </c>
      <c r="P287" s="16">
        <f t="shared" si="93"/>
        <v>0</v>
      </c>
      <c r="Q287" s="25">
        <f t="shared" si="94"/>
        <v>0</v>
      </c>
      <c r="R287" s="16">
        <f t="shared" si="95"/>
        <v>0</v>
      </c>
    </row>
    <row r="288" spans="1:18" ht="3.95" customHeight="1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</row>
    <row r="289" spans="1:19">
      <c r="A289" s="27" t="s">
        <v>108</v>
      </c>
      <c r="C289" s="14">
        <f t="shared" ref="C289:Q289" si="96">SUM(C282:C288)</f>
        <v>617</v>
      </c>
      <c r="D289" s="14">
        <f t="shared" si="96"/>
        <v>1743</v>
      </c>
      <c r="E289" s="14">
        <f t="shared" si="96"/>
        <v>1652</v>
      </c>
      <c r="F289" s="14">
        <f t="shared" si="96"/>
        <v>791</v>
      </c>
      <c r="G289" s="14">
        <f t="shared" si="96"/>
        <v>1066</v>
      </c>
      <c r="H289" s="14">
        <f t="shared" si="96"/>
        <v>-334</v>
      </c>
      <c r="I289" s="14">
        <f t="shared" si="96"/>
        <v>407</v>
      </c>
      <c r="J289" s="14">
        <f t="shared" si="96"/>
        <v>-194</v>
      </c>
      <c r="K289" s="14">
        <f t="shared" si="96"/>
        <v>264</v>
      </c>
      <c r="L289" s="14">
        <f t="shared" si="96"/>
        <v>281</v>
      </c>
      <c r="M289" s="14">
        <f t="shared" si="96"/>
        <v>281</v>
      </c>
      <c r="N289" s="14">
        <f t="shared" si="96"/>
        <v>281</v>
      </c>
      <c r="O289" s="14">
        <f t="shared" si="96"/>
        <v>1012</v>
      </c>
      <c r="P289" s="14">
        <f t="shared" si="96"/>
        <v>7250</v>
      </c>
      <c r="Q289" s="14">
        <f t="shared" si="96"/>
        <v>5131</v>
      </c>
      <c r="R289" s="14">
        <f>P289-Q289</f>
        <v>2119</v>
      </c>
    </row>
    <row r="290" spans="1:19" ht="6" customHeight="1">
      <c r="A290" s="27"/>
      <c r="B290" s="18"/>
      <c r="C290" s="17"/>
      <c r="D290" s="17"/>
      <c r="E290" s="17"/>
      <c r="F290" s="17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</row>
    <row r="291" spans="1:19">
      <c r="A291" s="27" t="s">
        <v>109</v>
      </c>
      <c r="B291" s="18"/>
      <c r="C291" s="17">
        <v>0</v>
      </c>
      <c r="D291" s="17">
        <v>0</v>
      </c>
      <c r="E291" s="17">
        <v>0</v>
      </c>
      <c r="F291" s="17">
        <v>0</v>
      </c>
      <c r="G291" s="17">
        <v>0</v>
      </c>
      <c r="H291" s="17">
        <v>0</v>
      </c>
      <c r="I291" s="17">
        <v>0</v>
      </c>
      <c r="J291" s="17">
        <v>0</v>
      </c>
      <c r="K291" s="17">
        <v>0</v>
      </c>
      <c r="L291" s="17">
        <v>0</v>
      </c>
      <c r="M291" s="17">
        <v>0</v>
      </c>
      <c r="N291" s="17">
        <v>0</v>
      </c>
      <c r="O291" s="17">
        <v>0</v>
      </c>
      <c r="P291" s="14">
        <f t="shared" ref="P291:P297" si="97">SUM(D291:O291)</f>
        <v>0</v>
      </c>
      <c r="Q291" s="17">
        <f t="shared" ref="Q291:Q297" si="98">SUM(D291:J291)</f>
        <v>0</v>
      </c>
      <c r="R291" s="14">
        <f t="shared" ref="R291:R297" si="99">P291-Q291</f>
        <v>0</v>
      </c>
      <c r="S291" s="14">
        <f>SUM(C291:O291)</f>
        <v>0</v>
      </c>
    </row>
    <row r="292" spans="1:19">
      <c r="A292" s="27" t="s">
        <v>548</v>
      </c>
      <c r="C292" s="17">
        <v>18746</v>
      </c>
      <c r="D292" s="17">
        <v>19663</v>
      </c>
      <c r="E292" s="17">
        <v>-40447</v>
      </c>
      <c r="F292" s="17">
        <v>-369</v>
      </c>
      <c r="G292" s="17">
        <v>-87</v>
      </c>
      <c r="H292" s="17">
        <v>-314</v>
      </c>
      <c r="I292" s="17">
        <v>117</v>
      </c>
      <c r="J292" s="17">
        <v>648</v>
      </c>
      <c r="K292" s="17">
        <v>0</v>
      </c>
      <c r="L292" s="17">
        <v>0</v>
      </c>
      <c r="M292" s="17">
        <v>0</v>
      </c>
      <c r="N292" s="17">
        <v>0</v>
      </c>
      <c r="O292" s="17">
        <v>0</v>
      </c>
      <c r="P292" s="14">
        <f t="shared" si="97"/>
        <v>-20789</v>
      </c>
      <c r="Q292" s="17">
        <f t="shared" si="98"/>
        <v>-20789</v>
      </c>
      <c r="R292" s="14">
        <f t="shared" si="99"/>
        <v>0</v>
      </c>
    </row>
    <row r="293" spans="1:19">
      <c r="A293" s="27" t="s">
        <v>509</v>
      </c>
      <c r="C293" s="17">
        <v>2437</v>
      </c>
      <c r="D293" s="17">
        <v>2034</v>
      </c>
      <c r="E293" s="17">
        <v>1478</v>
      </c>
      <c r="F293" s="17">
        <v>-3196</v>
      </c>
      <c r="G293" s="17">
        <v>622</v>
      </c>
      <c r="H293" s="17">
        <v>24</v>
      </c>
      <c r="I293" s="17">
        <v>266</v>
      </c>
      <c r="J293" s="17">
        <v>-235</v>
      </c>
      <c r="K293" s="17">
        <v>0</v>
      </c>
      <c r="L293" s="17">
        <v>0</v>
      </c>
      <c r="M293" s="17">
        <v>0</v>
      </c>
      <c r="N293" s="17">
        <v>0</v>
      </c>
      <c r="O293" s="17">
        <v>0</v>
      </c>
      <c r="P293" s="14">
        <f t="shared" si="97"/>
        <v>993</v>
      </c>
      <c r="Q293" s="17">
        <f t="shared" si="98"/>
        <v>993</v>
      </c>
      <c r="R293" s="14">
        <f t="shared" si="99"/>
        <v>0</v>
      </c>
    </row>
    <row r="294" spans="1:19">
      <c r="A294" s="27" t="s">
        <v>603</v>
      </c>
      <c r="C294" s="17">
        <v>0</v>
      </c>
      <c r="D294" s="17">
        <v>0</v>
      </c>
      <c r="E294" s="17">
        <v>0</v>
      </c>
      <c r="F294" s="17">
        <v>14594</v>
      </c>
      <c r="G294" s="17">
        <v>-14594</v>
      </c>
      <c r="H294" s="17">
        <v>0</v>
      </c>
      <c r="I294" s="17">
        <v>0</v>
      </c>
      <c r="J294" s="17">
        <v>0</v>
      </c>
      <c r="K294" s="17">
        <v>0</v>
      </c>
      <c r="L294" s="17">
        <v>0</v>
      </c>
      <c r="M294" s="17">
        <v>0</v>
      </c>
      <c r="N294" s="17">
        <v>0</v>
      </c>
      <c r="O294" s="17">
        <v>0</v>
      </c>
      <c r="P294" s="14">
        <f>SUM(D294:O294)</f>
        <v>0</v>
      </c>
      <c r="Q294" s="17">
        <f t="shared" si="98"/>
        <v>0</v>
      </c>
      <c r="R294" s="14">
        <f t="shared" si="99"/>
        <v>0</v>
      </c>
    </row>
    <row r="295" spans="1:19">
      <c r="A295" s="27" t="s">
        <v>32</v>
      </c>
      <c r="C295" s="17">
        <v>0</v>
      </c>
      <c r="D295" s="17">
        <v>0</v>
      </c>
      <c r="E295" s="17">
        <v>0</v>
      </c>
      <c r="F295" s="17">
        <v>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17">
        <v>0</v>
      </c>
      <c r="M295" s="17">
        <v>0</v>
      </c>
      <c r="N295" s="17">
        <v>0</v>
      </c>
      <c r="O295" s="17">
        <v>0</v>
      </c>
      <c r="P295" s="14">
        <f t="shared" si="97"/>
        <v>0</v>
      </c>
      <c r="Q295" s="17">
        <f t="shared" si="98"/>
        <v>0</v>
      </c>
      <c r="R295" s="14">
        <f t="shared" si="99"/>
        <v>0</v>
      </c>
    </row>
    <row r="296" spans="1:19">
      <c r="A296" s="27" t="s">
        <v>110</v>
      </c>
      <c r="C296" s="17">
        <v>0</v>
      </c>
      <c r="D296" s="17">
        <v>0</v>
      </c>
      <c r="E296" s="17">
        <v>0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0</v>
      </c>
      <c r="M296" s="175">
        <f>(9683+351)+977-11011</f>
        <v>0</v>
      </c>
      <c r="N296" s="17">
        <v>0</v>
      </c>
      <c r="O296" s="175">
        <f>-11011+11011</f>
        <v>0</v>
      </c>
      <c r="P296" s="14">
        <f>SUM(D296:O296)</f>
        <v>0</v>
      </c>
      <c r="Q296" s="17">
        <f t="shared" si="98"/>
        <v>0</v>
      </c>
      <c r="R296" s="14">
        <f t="shared" si="99"/>
        <v>0</v>
      </c>
    </row>
    <row r="297" spans="1:19">
      <c r="A297" s="27" t="s">
        <v>32</v>
      </c>
      <c r="C297" s="25">
        <v>0</v>
      </c>
      <c r="D297" s="25">
        <v>-2316</v>
      </c>
      <c r="E297" s="25">
        <v>-311</v>
      </c>
      <c r="F297" s="25">
        <v>1575</v>
      </c>
      <c r="G297" s="25">
        <v>152</v>
      </c>
      <c r="H297" s="25">
        <v>1389</v>
      </c>
      <c r="I297" s="25">
        <v>278</v>
      </c>
      <c r="J297" s="25">
        <v>1484</v>
      </c>
      <c r="K297" s="25">
        <v>0</v>
      </c>
      <c r="L297" s="25">
        <v>0</v>
      </c>
      <c r="M297" s="25">
        <v>0</v>
      </c>
      <c r="N297" s="25">
        <v>0</v>
      </c>
      <c r="O297" s="25">
        <v>0</v>
      </c>
      <c r="P297" s="16">
        <f t="shared" si="97"/>
        <v>2251</v>
      </c>
      <c r="Q297" s="25">
        <f t="shared" si="98"/>
        <v>2251</v>
      </c>
      <c r="R297" s="16">
        <f t="shared" si="99"/>
        <v>0</v>
      </c>
    </row>
    <row r="298" spans="1:19" ht="3.95" customHeight="1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</row>
    <row r="299" spans="1:19">
      <c r="A299" s="26" t="s">
        <v>581</v>
      </c>
      <c r="C299" s="14">
        <f t="shared" ref="C299:O299" si="100">C279+C280+C289+SUM(C291:C297)</f>
        <v>31722</v>
      </c>
      <c r="D299" s="14">
        <f t="shared" si="100"/>
        <v>52229</v>
      </c>
      <c r="E299" s="14">
        <f t="shared" si="100"/>
        <v>12858</v>
      </c>
      <c r="F299" s="14">
        <f t="shared" si="100"/>
        <v>24601</v>
      </c>
      <c r="G299" s="14">
        <f t="shared" si="100"/>
        <v>10969</v>
      </c>
      <c r="H299" s="14">
        <f t="shared" si="100"/>
        <v>10668</v>
      </c>
      <c r="I299" s="14">
        <f t="shared" si="100"/>
        <v>12070</v>
      </c>
      <c r="J299" s="14">
        <f t="shared" si="100"/>
        <v>13366</v>
      </c>
      <c r="K299" s="14">
        <f t="shared" si="100"/>
        <v>13824</v>
      </c>
      <c r="L299" s="14">
        <f t="shared" si="100"/>
        <v>13841</v>
      </c>
      <c r="M299" s="14">
        <f t="shared" si="100"/>
        <v>13841</v>
      </c>
      <c r="N299" s="14">
        <f t="shared" si="100"/>
        <v>13841</v>
      </c>
      <c r="O299" s="14">
        <f t="shared" si="100"/>
        <v>14572</v>
      </c>
    </row>
    <row r="300" spans="1:19" ht="3.95" customHeight="1"/>
    <row r="301" spans="1:19">
      <c r="A301" s="27" t="s">
        <v>23</v>
      </c>
      <c r="D301" s="14">
        <f t="shared" ref="D301:O301" si="101">D299-C299</f>
        <v>20507</v>
      </c>
      <c r="E301" s="14">
        <f t="shared" si="101"/>
        <v>-39371</v>
      </c>
      <c r="F301" s="14">
        <f t="shared" si="101"/>
        <v>11743</v>
      </c>
      <c r="G301" s="14">
        <f t="shared" si="101"/>
        <v>-13632</v>
      </c>
      <c r="H301" s="14">
        <f t="shared" si="101"/>
        <v>-301</v>
      </c>
      <c r="I301" s="14">
        <f t="shared" si="101"/>
        <v>1402</v>
      </c>
      <c r="J301" s="14">
        <f t="shared" si="101"/>
        <v>1296</v>
      </c>
      <c r="K301" s="14">
        <f t="shared" si="101"/>
        <v>458</v>
      </c>
      <c r="L301" s="14">
        <f t="shared" si="101"/>
        <v>17</v>
      </c>
      <c r="M301" s="14">
        <f t="shared" si="101"/>
        <v>0</v>
      </c>
      <c r="N301" s="14">
        <f t="shared" si="101"/>
        <v>0</v>
      </c>
      <c r="O301" s="14">
        <f t="shared" si="101"/>
        <v>731</v>
      </c>
      <c r="P301" s="14">
        <f>SUM(D301:O301)</f>
        <v>-17150</v>
      </c>
      <c r="Q301" s="17">
        <f>SUM(D301:J301)</f>
        <v>-18356</v>
      </c>
      <c r="R301" s="14">
        <f>P301-Q301</f>
        <v>1206</v>
      </c>
    </row>
    <row r="303" spans="1:19">
      <c r="A303" s="26" t="s">
        <v>582</v>
      </c>
      <c r="C303" s="17">
        <v>0</v>
      </c>
      <c r="D303" s="14">
        <f t="shared" ref="D303:O303" si="102">C308</f>
        <v>573870</v>
      </c>
      <c r="E303" s="14">
        <f t="shared" si="102"/>
        <v>593130</v>
      </c>
      <c r="F303" s="14">
        <f t="shared" si="102"/>
        <v>612073</v>
      </c>
      <c r="G303" s="14">
        <f t="shared" si="102"/>
        <v>636921</v>
      </c>
      <c r="H303" s="14">
        <f t="shared" si="102"/>
        <v>637328</v>
      </c>
      <c r="I303" s="14">
        <f t="shared" si="102"/>
        <v>643167</v>
      </c>
      <c r="J303" s="14">
        <f t="shared" si="102"/>
        <v>656330</v>
      </c>
      <c r="K303" s="14">
        <f t="shared" si="102"/>
        <v>664746</v>
      </c>
      <c r="L303" s="14">
        <f t="shared" si="102"/>
        <v>670646</v>
      </c>
      <c r="M303" s="14">
        <f t="shared" si="102"/>
        <v>677446</v>
      </c>
      <c r="N303" s="14">
        <f t="shared" si="102"/>
        <v>697446</v>
      </c>
      <c r="O303" s="14">
        <f t="shared" si="102"/>
        <v>717946</v>
      </c>
      <c r="P303" s="14"/>
    </row>
    <row r="304" spans="1:19">
      <c r="A304" s="15" t="s">
        <v>111</v>
      </c>
      <c r="C304" s="17">
        <v>573870</v>
      </c>
      <c r="D304" s="17">
        <v>19260</v>
      </c>
      <c r="E304" s="17">
        <v>18943</v>
      </c>
      <c r="F304" s="17">
        <v>24848</v>
      </c>
      <c r="G304" s="17">
        <v>407</v>
      </c>
      <c r="H304" s="17">
        <v>5839</v>
      </c>
      <c r="I304" s="17">
        <v>13163</v>
      </c>
      <c r="J304" s="17">
        <v>8416</v>
      </c>
      <c r="K304" s="17">
        <v>5900</v>
      </c>
      <c r="L304" s="17">
        <v>6800</v>
      </c>
      <c r="M304" s="17">
        <v>20000</v>
      </c>
      <c r="N304" s="17">
        <v>20500</v>
      </c>
      <c r="O304" s="17">
        <v>18800</v>
      </c>
      <c r="P304" s="14">
        <f>SUM(D304:O304)</f>
        <v>162876</v>
      </c>
      <c r="Q304" s="17">
        <f>SUM(D304:J304)</f>
        <v>90876</v>
      </c>
      <c r="R304" s="14">
        <f>P304-Q304</f>
        <v>72000</v>
      </c>
    </row>
    <row r="305" spans="1:20">
      <c r="A305" s="27" t="s">
        <v>627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7">
        <v>0</v>
      </c>
      <c r="I305" s="175">
        <f>1340-132-1208</f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  <c r="O305" s="17">
        <v>0</v>
      </c>
      <c r="P305" s="14">
        <f>SUM(D305:O305)</f>
        <v>0</v>
      </c>
      <c r="Q305" s="17">
        <f>SUM(D305:J305)</f>
        <v>0</v>
      </c>
      <c r="R305" s="14">
        <f>P305-Q305</f>
        <v>0</v>
      </c>
    </row>
    <row r="306" spans="1:20">
      <c r="A306" s="27" t="s">
        <v>112</v>
      </c>
      <c r="C306" s="25">
        <v>0</v>
      </c>
      <c r="D306" s="25">
        <v>0</v>
      </c>
      <c r="E306" s="25">
        <v>0</v>
      </c>
      <c r="F306" s="25">
        <v>0</v>
      </c>
      <c r="G306" s="25">
        <v>0</v>
      </c>
      <c r="H306" s="25">
        <v>0</v>
      </c>
      <c r="I306" s="25">
        <v>0</v>
      </c>
      <c r="J306" s="25">
        <v>0</v>
      </c>
      <c r="K306" s="25">
        <v>0</v>
      </c>
      <c r="L306" s="25">
        <v>0</v>
      </c>
      <c r="M306" s="25">
        <v>0</v>
      </c>
      <c r="N306" s="25">
        <v>0</v>
      </c>
      <c r="O306" s="25">
        <v>0</v>
      </c>
      <c r="P306" s="16">
        <f>SUM(D306:O306)</f>
        <v>0</v>
      </c>
      <c r="Q306" s="25">
        <f>SUM(D306:J306)</f>
        <v>0</v>
      </c>
      <c r="R306" s="16">
        <f>P306-Q306</f>
        <v>0</v>
      </c>
    </row>
    <row r="307" spans="1:20" ht="3.95" customHeight="1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1:20">
      <c r="A308" s="26" t="s">
        <v>583</v>
      </c>
      <c r="C308" s="14">
        <f t="shared" ref="C308:O308" si="103">SUM(C303:C307)</f>
        <v>573870</v>
      </c>
      <c r="D308" s="14">
        <f t="shared" si="103"/>
        <v>593130</v>
      </c>
      <c r="E308" s="14">
        <f t="shared" si="103"/>
        <v>612073</v>
      </c>
      <c r="F308" s="14">
        <f t="shared" si="103"/>
        <v>636921</v>
      </c>
      <c r="G308" s="14">
        <f t="shared" si="103"/>
        <v>637328</v>
      </c>
      <c r="H308" s="14">
        <f t="shared" si="103"/>
        <v>643167</v>
      </c>
      <c r="I308" s="14">
        <f t="shared" si="103"/>
        <v>656330</v>
      </c>
      <c r="J308" s="14">
        <f t="shared" si="103"/>
        <v>664746</v>
      </c>
      <c r="K308" s="14">
        <f t="shared" si="103"/>
        <v>670646</v>
      </c>
      <c r="L308" s="14">
        <f t="shared" si="103"/>
        <v>677446</v>
      </c>
      <c r="M308" s="14">
        <f t="shared" si="103"/>
        <v>697446</v>
      </c>
      <c r="N308" s="14">
        <f t="shared" si="103"/>
        <v>717946</v>
      </c>
      <c r="O308" s="14">
        <f t="shared" si="103"/>
        <v>736746</v>
      </c>
      <c r="P308" s="14"/>
    </row>
    <row r="309" spans="1:20" ht="3.95" customHeight="1"/>
    <row r="310" spans="1:20">
      <c r="A310" s="27" t="s">
        <v>23</v>
      </c>
      <c r="D310" s="14">
        <f t="shared" ref="D310:O310" si="104">D308-C308</f>
        <v>19260</v>
      </c>
      <c r="E310" s="14">
        <f t="shared" si="104"/>
        <v>18943</v>
      </c>
      <c r="F310" s="14">
        <f t="shared" si="104"/>
        <v>24848</v>
      </c>
      <c r="G310" s="14">
        <f t="shared" si="104"/>
        <v>407</v>
      </c>
      <c r="H310" s="14">
        <f t="shared" si="104"/>
        <v>5839</v>
      </c>
      <c r="I310" s="14">
        <f t="shared" si="104"/>
        <v>13163</v>
      </c>
      <c r="J310" s="14">
        <f t="shared" si="104"/>
        <v>8416</v>
      </c>
      <c r="K310" s="14">
        <f t="shared" si="104"/>
        <v>5900</v>
      </c>
      <c r="L310" s="14">
        <f t="shared" si="104"/>
        <v>6800</v>
      </c>
      <c r="M310" s="14">
        <f t="shared" si="104"/>
        <v>20000</v>
      </c>
      <c r="N310" s="14">
        <f t="shared" si="104"/>
        <v>20500</v>
      </c>
      <c r="O310" s="14">
        <f t="shared" si="104"/>
        <v>18800</v>
      </c>
      <c r="P310" s="14">
        <f>SUM(D310:O310)</f>
        <v>162876</v>
      </c>
      <c r="Q310" s="14">
        <f>SUM(Q304:Q307)</f>
        <v>90876</v>
      </c>
      <c r="R310" s="14">
        <f>P310-Q310</f>
        <v>72000</v>
      </c>
    </row>
    <row r="312" spans="1:20">
      <c r="A312" s="26" t="s">
        <v>113</v>
      </c>
      <c r="D312" s="14">
        <f t="shared" ref="D312:O312" si="105">C317</f>
        <v>0</v>
      </c>
      <c r="E312" s="14">
        <f t="shared" si="105"/>
        <v>0</v>
      </c>
      <c r="F312" s="14">
        <f t="shared" si="105"/>
        <v>0</v>
      </c>
      <c r="G312" s="14">
        <f t="shared" si="105"/>
        <v>0</v>
      </c>
      <c r="H312" s="14">
        <f t="shared" si="105"/>
        <v>0</v>
      </c>
      <c r="I312" s="14">
        <f t="shared" si="105"/>
        <v>0</v>
      </c>
      <c r="J312" s="14">
        <f t="shared" si="105"/>
        <v>0</v>
      </c>
      <c r="K312" s="14">
        <f t="shared" si="105"/>
        <v>0</v>
      </c>
      <c r="L312" s="14">
        <f t="shared" si="105"/>
        <v>3301</v>
      </c>
      <c r="M312" s="14">
        <f t="shared" si="105"/>
        <v>5234</v>
      </c>
      <c r="N312" s="14">
        <f t="shared" si="105"/>
        <v>1239</v>
      </c>
      <c r="O312" s="14">
        <f t="shared" si="105"/>
        <v>-4702</v>
      </c>
      <c r="P312" s="14"/>
    </row>
    <row r="313" spans="1:20">
      <c r="A313" s="27" t="s">
        <v>114</v>
      </c>
      <c r="C313" s="17">
        <v>0</v>
      </c>
      <c r="D313" s="17">
        <v>0</v>
      </c>
      <c r="E313" s="17">
        <v>0</v>
      </c>
      <c r="F313" s="17">
        <v>0</v>
      </c>
      <c r="G313" s="17">
        <v>0</v>
      </c>
      <c r="H313" s="17">
        <v>0</v>
      </c>
      <c r="I313" s="17">
        <v>0</v>
      </c>
      <c r="J313" s="17">
        <v>0</v>
      </c>
      <c r="K313" s="17">
        <v>0</v>
      </c>
      <c r="L313" s="17">
        <v>0</v>
      </c>
      <c r="M313" s="17">
        <v>0</v>
      </c>
      <c r="N313" s="17">
        <v>0</v>
      </c>
      <c r="O313" s="17">
        <v>0</v>
      </c>
      <c r="P313" s="14">
        <f>SUM(D313:O313)</f>
        <v>0</v>
      </c>
      <c r="Q313" s="17">
        <f>SUM(D313:J313)</f>
        <v>0</v>
      </c>
      <c r="R313" s="14">
        <f>P313-Q313</f>
        <v>0</v>
      </c>
      <c r="T313" s="14">
        <f>ROUND(((C27+D421+D432)*0.8)-C317-D314,0)</f>
        <v>50829</v>
      </c>
    </row>
    <row r="314" spans="1:20">
      <c r="A314" s="27" t="s">
        <v>32</v>
      </c>
      <c r="C314" s="17">
        <v>0</v>
      </c>
      <c r="D314" s="17">
        <v>0</v>
      </c>
      <c r="E314" s="17">
        <v>0</v>
      </c>
      <c r="F314" s="17">
        <v>0</v>
      </c>
      <c r="G314" s="17">
        <v>0</v>
      </c>
      <c r="H314" s="17">
        <v>0</v>
      </c>
      <c r="I314" s="17">
        <v>0</v>
      </c>
      <c r="J314" s="17">
        <v>0</v>
      </c>
      <c r="K314" s="17">
        <v>3301</v>
      </c>
      <c r="L314" s="17">
        <v>1933</v>
      </c>
      <c r="M314" s="17">
        <v>-3995</v>
      </c>
      <c r="N314" s="17">
        <v>-5941</v>
      </c>
      <c r="O314" s="17">
        <v>-1862</v>
      </c>
      <c r="P314" s="14">
        <f>SUM(D314:O314)</f>
        <v>-6564</v>
      </c>
      <c r="Q314" s="17">
        <f>SUM(D314:J314)</f>
        <v>0</v>
      </c>
      <c r="R314" s="14">
        <f>P314-Q314</f>
        <v>-6564</v>
      </c>
    </row>
    <row r="315" spans="1:20">
      <c r="A315" s="27" t="s">
        <v>115</v>
      </c>
      <c r="C315" s="25">
        <v>0</v>
      </c>
      <c r="D315" s="25">
        <v>0</v>
      </c>
      <c r="E315" s="25">
        <v>0</v>
      </c>
      <c r="F315" s="25">
        <v>0</v>
      </c>
      <c r="G315" s="25">
        <v>0</v>
      </c>
      <c r="H315" s="25">
        <v>0</v>
      </c>
      <c r="I315" s="25">
        <v>0</v>
      </c>
      <c r="J315" s="25">
        <v>0</v>
      </c>
      <c r="K315" s="25">
        <v>0</v>
      </c>
      <c r="L315" s="25">
        <v>0</v>
      </c>
      <c r="M315" s="25">
        <v>0</v>
      </c>
      <c r="N315" s="25">
        <v>0</v>
      </c>
      <c r="O315" s="25">
        <v>0</v>
      </c>
      <c r="P315" s="16">
        <f>SUM(D315:O315)</f>
        <v>0</v>
      </c>
      <c r="Q315" s="25">
        <f>SUM(D315:J315)</f>
        <v>0</v>
      </c>
      <c r="R315" s="16">
        <f>P315-Q315</f>
        <v>0</v>
      </c>
    </row>
    <row r="316" spans="1:20" ht="3.95" customHeight="1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1:20">
      <c r="A317" s="26" t="s">
        <v>116</v>
      </c>
      <c r="C317" s="17">
        <v>0</v>
      </c>
      <c r="D317" s="14">
        <f t="shared" ref="D317:O317" si="106">SUM(D312:D316)</f>
        <v>0</v>
      </c>
      <c r="E317" s="14">
        <f t="shared" si="106"/>
        <v>0</v>
      </c>
      <c r="F317" s="14">
        <f t="shared" si="106"/>
        <v>0</v>
      </c>
      <c r="G317" s="14">
        <f t="shared" si="106"/>
        <v>0</v>
      </c>
      <c r="H317" s="14">
        <f t="shared" si="106"/>
        <v>0</v>
      </c>
      <c r="I317" s="14">
        <f t="shared" si="106"/>
        <v>0</v>
      </c>
      <c r="J317" s="14">
        <f t="shared" si="106"/>
        <v>0</v>
      </c>
      <c r="K317" s="14">
        <f t="shared" si="106"/>
        <v>3301</v>
      </c>
      <c r="L317" s="14">
        <f t="shared" si="106"/>
        <v>5234</v>
      </c>
      <c r="M317" s="14">
        <f t="shared" si="106"/>
        <v>1239</v>
      </c>
      <c r="N317" s="14">
        <f t="shared" si="106"/>
        <v>-4702</v>
      </c>
      <c r="O317" s="14">
        <f t="shared" si="106"/>
        <v>-6564</v>
      </c>
      <c r="P317" s="14"/>
    </row>
    <row r="318" spans="1:20" ht="3.95" customHeight="1"/>
    <row r="319" spans="1:20">
      <c r="A319" s="27" t="s">
        <v>23</v>
      </c>
      <c r="D319" s="14">
        <f t="shared" ref="D319:O319" si="107">D317-C317</f>
        <v>0</v>
      </c>
      <c r="E319" s="14">
        <f t="shared" si="107"/>
        <v>0</v>
      </c>
      <c r="F319" s="14">
        <f t="shared" si="107"/>
        <v>0</v>
      </c>
      <c r="G319" s="14">
        <f t="shared" si="107"/>
        <v>0</v>
      </c>
      <c r="H319" s="14">
        <f t="shared" si="107"/>
        <v>0</v>
      </c>
      <c r="I319" s="14">
        <f t="shared" si="107"/>
        <v>0</v>
      </c>
      <c r="J319" s="14">
        <f t="shared" si="107"/>
        <v>0</v>
      </c>
      <c r="K319" s="14">
        <f t="shared" si="107"/>
        <v>3301</v>
      </c>
      <c r="L319" s="14">
        <f t="shared" si="107"/>
        <v>1933</v>
      </c>
      <c r="M319" s="14">
        <f t="shared" si="107"/>
        <v>-3995</v>
      </c>
      <c r="N319" s="14">
        <f t="shared" si="107"/>
        <v>-5941</v>
      </c>
      <c r="O319" s="14">
        <f t="shared" si="107"/>
        <v>-1862</v>
      </c>
      <c r="P319" s="14">
        <f>SUM(D319:O319)</f>
        <v>-6564</v>
      </c>
      <c r="Q319" s="14">
        <f>SUM(Q313:Q316)</f>
        <v>0</v>
      </c>
      <c r="R319" s="14">
        <f>P319-Q319</f>
        <v>-6564</v>
      </c>
    </row>
    <row r="321" spans="1:18">
      <c r="A321" s="26" t="s">
        <v>619</v>
      </c>
      <c r="D321" s="14">
        <f t="shared" ref="D321:O321" si="108">C333</f>
        <v>0</v>
      </c>
      <c r="E321" s="14">
        <f t="shared" si="108"/>
        <v>0</v>
      </c>
      <c r="F321" s="14">
        <f t="shared" si="108"/>
        <v>0</v>
      </c>
      <c r="G321" s="14">
        <f t="shared" si="108"/>
        <v>0</v>
      </c>
      <c r="H321" s="14">
        <f t="shared" si="108"/>
        <v>0</v>
      </c>
      <c r="I321" s="14">
        <f t="shared" si="108"/>
        <v>0</v>
      </c>
      <c r="J321" s="14">
        <f t="shared" si="108"/>
        <v>100</v>
      </c>
      <c r="K321" s="14">
        <f t="shared" si="108"/>
        <v>1308</v>
      </c>
      <c r="L321" s="14">
        <f t="shared" si="108"/>
        <v>1308</v>
      </c>
      <c r="M321" s="14">
        <f t="shared" si="108"/>
        <v>1308</v>
      </c>
      <c r="N321" s="14">
        <f t="shared" si="108"/>
        <v>1308</v>
      </c>
      <c r="O321" s="14">
        <f t="shared" si="108"/>
        <v>1308</v>
      </c>
    </row>
    <row r="322" spans="1:18">
      <c r="A322" s="15" t="s">
        <v>594</v>
      </c>
      <c r="C322" s="17">
        <v>0</v>
      </c>
      <c r="D322" s="17">
        <v>0</v>
      </c>
      <c r="E322" s="17">
        <v>0</v>
      </c>
      <c r="F322" s="17">
        <v>0</v>
      </c>
      <c r="G322" s="17">
        <v>0</v>
      </c>
      <c r="H322" s="17">
        <v>0</v>
      </c>
      <c r="I322" s="17">
        <v>100</v>
      </c>
      <c r="J322" s="17">
        <v>-10</v>
      </c>
      <c r="K322" s="17">
        <v>0</v>
      </c>
      <c r="L322" s="17">
        <v>0</v>
      </c>
      <c r="M322" s="17">
        <v>0</v>
      </c>
      <c r="N322" s="17">
        <v>0</v>
      </c>
      <c r="O322" s="17">
        <v>0</v>
      </c>
      <c r="P322" s="14">
        <f t="shared" ref="P322:P331" si="109">SUM(D322:O322)</f>
        <v>90</v>
      </c>
      <c r="Q322" s="17">
        <f t="shared" ref="Q322:Q331" si="110">SUM(D322:J322)</f>
        <v>90</v>
      </c>
      <c r="R322" s="14">
        <f t="shared" ref="R322:R331" si="111">P322-Q322</f>
        <v>0</v>
      </c>
    </row>
    <row r="323" spans="1:18">
      <c r="A323" s="27" t="s">
        <v>631</v>
      </c>
      <c r="C323" s="17"/>
      <c r="D323" s="17">
        <v>0</v>
      </c>
      <c r="E323" s="17">
        <v>0</v>
      </c>
      <c r="F323" s="17">
        <v>0</v>
      </c>
      <c r="G323" s="17">
        <v>0</v>
      </c>
      <c r="H323" s="17">
        <v>0</v>
      </c>
      <c r="I323" s="17">
        <v>0</v>
      </c>
      <c r="J323" s="17">
        <v>1218</v>
      </c>
      <c r="K323" s="17">
        <v>0</v>
      </c>
      <c r="L323" s="17">
        <v>0</v>
      </c>
      <c r="M323" s="17">
        <v>0</v>
      </c>
      <c r="N323" s="17">
        <v>0</v>
      </c>
      <c r="O323" s="17">
        <v>0</v>
      </c>
      <c r="P323" s="14">
        <f t="shared" si="109"/>
        <v>1218</v>
      </c>
      <c r="Q323" s="17">
        <f t="shared" si="110"/>
        <v>1218</v>
      </c>
      <c r="R323" s="14">
        <f t="shared" si="111"/>
        <v>0</v>
      </c>
    </row>
    <row r="324" spans="1:18">
      <c r="A324" s="15" t="s">
        <v>32</v>
      </c>
      <c r="C324" s="17"/>
      <c r="D324" s="17">
        <v>0</v>
      </c>
      <c r="E324" s="17">
        <v>0</v>
      </c>
      <c r="F324" s="17">
        <v>0</v>
      </c>
      <c r="G324" s="17">
        <v>0</v>
      </c>
      <c r="H324" s="17">
        <v>0</v>
      </c>
      <c r="I324" s="17">
        <v>0</v>
      </c>
      <c r="J324" s="17">
        <v>0</v>
      </c>
      <c r="K324" s="17">
        <v>0</v>
      </c>
      <c r="L324" s="17">
        <v>0</v>
      </c>
      <c r="M324" s="17">
        <v>0</v>
      </c>
      <c r="N324" s="17">
        <v>0</v>
      </c>
      <c r="O324" s="17">
        <v>0</v>
      </c>
      <c r="P324" s="14">
        <f t="shared" si="109"/>
        <v>0</v>
      </c>
      <c r="Q324" s="17">
        <f t="shared" si="110"/>
        <v>0</v>
      </c>
      <c r="R324" s="14">
        <f t="shared" si="111"/>
        <v>0</v>
      </c>
    </row>
    <row r="325" spans="1:18">
      <c r="A325" s="15" t="s">
        <v>32</v>
      </c>
      <c r="B325" s="18"/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0</v>
      </c>
      <c r="L325" s="17">
        <v>0</v>
      </c>
      <c r="M325" s="17">
        <v>0</v>
      </c>
      <c r="N325" s="17">
        <v>0</v>
      </c>
      <c r="O325" s="17">
        <v>0</v>
      </c>
      <c r="P325" s="14">
        <f t="shared" si="109"/>
        <v>0</v>
      </c>
      <c r="Q325" s="17">
        <f t="shared" si="110"/>
        <v>0</v>
      </c>
      <c r="R325" s="14">
        <f t="shared" si="111"/>
        <v>0</v>
      </c>
    </row>
    <row r="326" spans="1:18">
      <c r="A326" s="15" t="s">
        <v>32</v>
      </c>
      <c r="B326" s="18"/>
      <c r="C326" s="17">
        <v>0</v>
      </c>
      <c r="D326" s="17">
        <v>0</v>
      </c>
      <c r="E326" s="17">
        <v>0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0</v>
      </c>
      <c r="L326" s="17">
        <v>0</v>
      </c>
      <c r="M326" s="17">
        <v>0</v>
      </c>
      <c r="N326" s="17">
        <v>0</v>
      </c>
      <c r="O326" s="17">
        <v>0</v>
      </c>
      <c r="P326" s="14">
        <f t="shared" si="109"/>
        <v>0</v>
      </c>
      <c r="Q326" s="17">
        <f t="shared" si="110"/>
        <v>0</v>
      </c>
      <c r="R326" s="14">
        <f t="shared" si="111"/>
        <v>0</v>
      </c>
    </row>
    <row r="327" spans="1:18">
      <c r="A327" s="15" t="s">
        <v>32</v>
      </c>
      <c r="C327" s="17">
        <v>0</v>
      </c>
      <c r="D327" s="17">
        <v>0</v>
      </c>
      <c r="E327" s="17">
        <v>0</v>
      </c>
      <c r="F327" s="17">
        <v>0</v>
      </c>
      <c r="G327" s="17">
        <v>0</v>
      </c>
      <c r="H327" s="17">
        <v>0</v>
      </c>
      <c r="I327" s="17">
        <v>0</v>
      </c>
      <c r="J327" s="17">
        <v>0</v>
      </c>
      <c r="K327" s="17">
        <v>0</v>
      </c>
      <c r="L327" s="17">
        <v>0</v>
      </c>
      <c r="M327" s="17">
        <v>0</v>
      </c>
      <c r="N327" s="17">
        <v>0</v>
      </c>
      <c r="O327" s="17">
        <v>0</v>
      </c>
      <c r="P327" s="14">
        <f t="shared" si="109"/>
        <v>0</v>
      </c>
      <c r="Q327" s="17">
        <f t="shared" si="110"/>
        <v>0</v>
      </c>
      <c r="R327" s="14">
        <f t="shared" si="111"/>
        <v>0</v>
      </c>
    </row>
    <row r="328" spans="1:18">
      <c r="A328" s="15" t="s">
        <v>32</v>
      </c>
      <c r="C328" s="17"/>
      <c r="D328" s="17">
        <v>0</v>
      </c>
      <c r="E328" s="17">
        <v>0</v>
      </c>
      <c r="F328" s="17">
        <v>0</v>
      </c>
      <c r="G328" s="17">
        <v>0</v>
      </c>
      <c r="H328" s="17">
        <v>0</v>
      </c>
      <c r="I328" s="17">
        <v>0</v>
      </c>
      <c r="J328" s="17">
        <v>0</v>
      </c>
      <c r="K328" s="17">
        <v>0</v>
      </c>
      <c r="L328" s="17">
        <v>0</v>
      </c>
      <c r="M328" s="17">
        <v>0</v>
      </c>
      <c r="N328" s="17">
        <v>0</v>
      </c>
      <c r="O328" s="17">
        <v>0</v>
      </c>
      <c r="P328" s="14">
        <f t="shared" si="109"/>
        <v>0</v>
      </c>
      <c r="Q328" s="17">
        <f t="shared" si="110"/>
        <v>0</v>
      </c>
      <c r="R328" s="14">
        <f t="shared" si="111"/>
        <v>0</v>
      </c>
    </row>
    <row r="329" spans="1:18">
      <c r="A329" s="15" t="s">
        <v>32</v>
      </c>
      <c r="C329" s="17"/>
      <c r="D329" s="17">
        <v>0</v>
      </c>
      <c r="E329" s="17">
        <v>0</v>
      </c>
      <c r="F329" s="17">
        <v>0</v>
      </c>
      <c r="G329" s="17">
        <v>0</v>
      </c>
      <c r="H329" s="17">
        <v>0</v>
      </c>
      <c r="I329" s="17">
        <v>0</v>
      </c>
      <c r="J329" s="17">
        <v>0</v>
      </c>
      <c r="K329" s="17">
        <v>0</v>
      </c>
      <c r="L329" s="17">
        <v>0</v>
      </c>
      <c r="M329" s="17">
        <v>0</v>
      </c>
      <c r="N329" s="17">
        <v>0</v>
      </c>
      <c r="O329" s="17">
        <v>0</v>
      </c>
      <c r="P329" s="14">
        <f t="shared" si="109"/>
        <v>0</v>
      </c>
      <c r="Q329" s="17">
        <f t="shared" si="110"/>
        <v>0</v>
      </c>
      <c r="R329" s="14">
        <f t="shared" si="111"/>
        <v>0</v>
      </c>
    </row>
    <row r="330" spans="1:18">
      <c r="A330" s="15" t="s">
        <v>32</v>
      </c>
      <c r="C330" s="17">
        <v>0</v>
      </c>
      <c r="D330" s="17">
        <v>0</v>
      </c>
      <c r="E330" s="17">
        <v>0</v>
      </c>
      <c r="F330" s="17">
        <v>0</v>
      </c>
      <c r="G330" s="17">
        <v>0</v>
      </c>
      <c r="H330" s="17">
        <v>0</v>
      </c>
      <c r="I330" s="17">
        <v>0</v>
      </c>
      <c r="J330" s="17">
        <v>0</v>
      </c>
      <c r="K330" s="17">
        <v>0</v>
      </c>
      <c r="L330" s="17">
        <v>0</v>
      </c>
      <c r="M330" s="17">
        <v>0</v>
      </c>
      <c r="N330" s="17">
        <v>0</v>
      </c>
      <c r="O330" s="17">
        <v>0</v>
      </c>
      <c r="P330" s="14">
        <f t="shared" si="109"/>
        <v>0</v>
      </c>
      <c r="Q330" s="17">
        <f t="shared" si="110"/>
        <v>0</v>
      </c>
      <c r="R330" s="14">
        <f t="shared" si="111"/>
        <v>0</v>
      </c>
    </row>
    <row r="331" spans="1:18">
      <c r="A331" s="27" t="s">
        <v>115</v>
      </c>
      <c r="C331" s="25">
        <v>0</v>
      </c>
      <c r="D331" s="25">
        <v>0</v>
      </c>
      <c r="E331" s="25">
        <v>0</v>
      </c>
      <c r="F331" s="25">
        <v>0</v>
      </c>
      <c r="G331" s="25">
        <v>0</v>
      </c>
      <c r="H331" s="25">
        <v>0</v>
      </c>
      <c r="I331" s="25">
        <v>0</v>
      </c>
      <c r="J331" s="25">
        <v>0</v>
      </c>
      <c r="K331" s="25">
        <v>0</v>
      </c>
      <c r="L331" s="25">
        <v>0</v>
      </c>
      <c r="M331" s="25">
        <v>0</v>
      </c>
      <c r="N331" s="25">
        <v>0</v>
      </c>
      <c r="O331" s="25">
        <v>0</v>
      </c>
      <c r="P331" s="16">
        <f t="shared" si="109"/>
        <v>0</v>
      </c>
      <c r="Q331" s="25">
        <f t="shared" si="110"/>
        <v>0</v>
      </c>
      <c r="R331" s="16">
        <f t="shared" si="111"/>
        <v>0</v>
      </c>
    </row>
    <row r="332" spans="1:18" ht="3.95" customHeight="1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</row>
    <row r="333" spans="1:18">
      <c r="A333" s="26" t="s">
        <v>620</v>
      </c>
      <c r="C333" s="14">
        <f t="shared" ref="C333:O333" si="112">SUM(C321:C332)</f>
        <v>0</v>
      </c>
      <c r="D333" s="14">
        <f t="shared" si="112"/>
        <v>0</v>
      </c>
      <c r="E333" s="14">
        <f t="shared" si="112"/>
        <v>0</v>
      </c>
      <c r="F333" s="14">
        <f t="shared" si="112"/>
        <v>0</v>
      </c>
      <c r="G333" s="14">
        <f t="shared" si="112"/>
        <v>0</v>
      </c>
      <c r="H333" s="14">
        <f t="shared" si="112"/>
        <v>0</v>
      </c>
      <c r="I333" s="14">
        <f t="shared" si="112"/>
        <v>100</v>
      </c>
      <c r="J333" s="14">
        <f t="shared" si="112"/>
        <v>1308</v>
      </c>
      <c r="K333" s="14">
        <f t="shared" si="112"/>
        <v>1308</v>
      </c>
      <c r="L333" s="14">
        <f t="shared" si="112"/>
        <v>1308</v>
      </c>
      <c r="M333" s="14">
        <f t="shared" si="112"/>
        <v>1308</v>
      </c>
      <c r="N333" s="14">
        <f t="shared" si="112"/>
        <v>1308</v>
      </c>
      <c r="O333" s="14">
        <f t="shared" si="112"/>
        <v>1308</v>
      </c>
    </row>
    <row r="334" spans="1:18" ht="3.95" customHeight="1"/>
    <row r="335" spans="1:18">
      <c r="A335" s="27" t="s">
        <v>23</v>
      </c>
      <c r="D335" s="14">
        <f t="shared" ref="D335:O335" si="113">D333-C333</f>
        <v>0</v>
      </c>
      <c r="E335" s="14">
        <f t="shared" si="113"/>
        <v>0</v>
      </c>
      <c r="F335" s="14">
        <f t="shared" si="113"/>
        <v>0</v>
      </c>
      <c r="G335" s="14">
        <f t="shared" si="113"/>
        <v>0</v>
      </c>
      <c r="H335" s="14">
        <f t="shared" si="113"/>
        <v>0</v>
      </c>
      <c r="I335" s="14">
        <f t="shared" si="113"/>
        <v>100</v>
      </c>
      <c r="J335" s="14">
        <f t="shared" si="113"/>
        <v>1208</v>
      </c>
      <c r="K335" s="14">
        <f t="shared" si="113"/>
        <v>0</v>
      </c>
      <c r="L335" s="14">
        <f t="shared" si="113"/>
        <v>0</v>
      </c>
      <c r="M335" s="14">
        <f t="shared" si="113"/>
        <v>0</v>
      </c>
      <c r="N335" s="14">
        <f t="shared" si="113"/>
        <v>0</v>
      </c>
      <c r="O335" s="14">
        <f t="shared" si="113"/>
        <v>0</v>
      </c>
      <c r="P335" s="14">
        <f>SUM(D335:O335)</f>
        <v>1308</v>
      </c>
      <c r="Q335" s="14">
        <f>SUM(Q322:Q332)</f>
        <v>1308</v>
      </c>
      <c r="R335" s="14">
        <f>P335-Q335</f>
        <v>0</v>
      </c>
    </row>
    <row r="337" spans="1:18" ht="8.1" customHeight="1"/>
    <row r="338" spans="1:18">
      <c r="A338" s="26" t="s">
        <v>117</v>
      </c>
      <c r="D338" s="14">
        <f t="shared" ref="D338:O338" si="114">C341</f>
        <v>69748</v>
      </c>
      <c r="E338" s="14">
        <f t="shared" si="114"/>
        <v>102092</v>
      </c>
      <c r="F338" s="14">
        <f t="shared" si="114"/>
        <v>87633</v>
      </c>
      <c r="G338" s="14">
        <f t="shared" si="114"/>
        <v>72753</v>
      </c>
      <c r="H338" s="14">
        <f t="shared" si="114"/>
        <v>75153</v>
      </c>
      <c r="I338" s="14">
        <f t="shared" si="114"/>
        <v>66180</v>
      </c>
      <c r="J338" s="14">
        <f t="shared" si="114"/>
        <v>67260</v>
      </c>
      <c r="K338" s="14">
        <f t="shared" si="114"/>
        <v>45493</v>
      </c>
      <c r="L338" s="14">
        <f t="shared" si="114"/>
        <v>45493</v>
      </c>
      <c r="M338" s="14">
        <f t="shared" si="114"/>
        <v>45493</v>
      </c>
      <c r="N338" s="14">
        <f t="shared" si="114"/>
        <v>45493</v>
      </c>
      <c r="O338" s="14">
        <f t="shared" si="114"/>
        <v>45493</v>
      </c>
      <c r="P338" s="14"/>
    </row>
    <row r="339" spans="1:18">
      <c r="A339" s="27" t="s">
        <v>115</v>
      </c>
      <c r="C339" s="25">
        <v>0</v>
      </c>
      <c r="D339" s="25">
        <v>32344</v>
      </c>
      <c r="E339" s="25">
        <v>-14459</v>
      </c>
      <c r="F339" s="25">
        <v>-14880</v>
      </c>
      <c r="G339" s="25">
        <v>2400</v>
      </c>
      <c r="H339" s="25">
        <v>-8973</v>
      </c>
      <c r="I339" s="25">
        <v>1080</v>
      </c>
      <c r="J339" s="25">
        <v>-21767</v>
      </c>
      <c r="K339" s="25">
        <v>0</v>
      </c>
      <c r="L339" s="25">
        <v>0</v>
      </c>
      <c r="M339" s="25">
        <v>0</v>
      </c>
      <c r="N339" s="25">
        <v>0</v>
      </c>
      <c r="O339" s="25">
        <v>0</v>
      </c>
      <c r="P339" s="16">
        <f>SUM(D339:O339)</f>
        <v>-24255</v>
      </c>
      <c r="Q339" s="25">
        <f>SUM(D339:J339)</f>
        <v>-24255</v>
      </c>
      <c r="R339" s="16">
        <f>P339-Q339</f>
        <v>0</v>
      </c>
    </row>
    <row r="340" spans="1:18" ht="3.95" customHeight="1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</row>
    <row r="341" spans="1:18">
      <c r="A341" s="26" t="s">
        <v>118</v>
      </c>
      <c r="C341" s="17">
        <v>69748</v>
      </c>
      <c r="D341" s="14">
        <f t="shared" ref="D341:O341" si="115">D338+D339</f>
        <v>102092</v>
      </c>
      <c r="E341" s="14">
        <f t="shared" si="115"/>
        <v>87633</v>
      </c>
      <c r="F341" s="14">
        <f t="shared" si="115"/>
        <v>72753</v>
      </c>
      <c r="G341" s="14">
        <f t="shared" si="115"/>
        <v>75153</v>
      </c>
      <c r="H341" s="14">
        <f t="shared" si="115"/>
        <v>66180</v>
      </c>
      <c r="I341" s="14">
        <f t="shared" si="115"/>
        <v>67260</v>
      </c>
      <c r="J341" s="14">
        <f t="shared" si="115"/>
        <v>45493</v>
      </c>
      <c r="K341" s="14">
        <f t="shared" si="115"/>
        <v>45493</v>
      </c>
      <c r="L341" s="14">
        <f t="shared" si="115"/>
        <v>45493</v>
      </c>
      <c r="M341" s="14">
        <f t="shared" si="115"/>
        <v>45493</v>
      </c>
      <c r="N341" s="14">
        <f t="shared" si="115"/>
        <v>45493</v>
      </c>
      <c r="O341" s="14">
        <f t="shared" si="115"/>
        <v>45493</v>
      </c>
      <c r="P341" s="14"/>
    </row>
    <row r="342" spans="1:18" ht="3.95" customHeight="1"/>
    <row r="343" spans="1:18">
      <c r="A343" s="27" t="s">
        <v>23</v>
      </c>
      <c r="D343" s="14">
        <f t="shared" ref="D343:O343" si="116">D341-C341</f>
        <v>32344</v>
      </c>
      <c r="E343" s="14">
        <f t="shared" si="116"/>
        <v>-14459</v>
      </c>
      <c r="F343" s="14">
        <f t="shared" si="116"/>
        <v>-14880</v>
      </c>
      <c r="G343" s="14">
        <f t="shared" si="116"/>
        <v>2400</v>
      </c>
      <c r="H343" s="14">
        <f t="shared" si="116"/>
        <v>-8973</v>
      </c>
      <c r="I343" s="14">
        <f t="shared" si="116"/>
        <v>1080</v>
      </c>
      <c r="J343" s="14">
        <f t="shared" si="116"/>
        <v>-21767</v>
      </c>
      <c r="K343" s="14">
        <f t="shared" si="116"/>
        <v>0</v>
      </c>
      <c r="L343" s="14">
        <f t="shared" si="116"/>
        <v>0</v>
      </c>
      <c r="M343" s="14">
        <f t="shared" si="116"/>
        <v>0</v>
      </c>
      <c r="N343" s="14">
        <f t="shared" si="116"/>
        <v>0</v>
      </c>
      <c r="O343" s="14">
        <f t="shared" si="116"/>
        <v>0</v>
      </c>
      <c r="P343" s="14">
        <f>SUM(D343:O343)</f>
        <v>-24255</v>
      </c>
      <c r="Q343" s="14">
        <f>Q339</f>
        <v>-24255</v>
      </c>
      <c r="R343" s="14">
        <f>P343-Q343</f>
        <v>0</v>
      </c>
    </row>
    <row r="346" spans="1:18">
      <c r="A346" s="26" t="s">
        <v>119</v>
      </c>
    </row>
    <row r="347" spans="1:18">
      <c r="A347" s="27" t="s">
        <v>120</v>
      </c>
      <c r="B347" s="18" t="s">
        <v>26</v>
      </c>
      <c r="C347" s="14"/>
      <c r="D347" s="14">
        <f>[1]Source!D41</f>
        <v>2907</v>
      </c>
      <c r="E347" s="14">
        <f>[1]Source!E41</f>
        <v>3202</v>
      </c>
      <c r="F347" s="14">
        <f>[1]Source!F41</f>
        <v>2707</v>
      </c>
      <c r="G347" s="14">
        <f>[1]Source!G41</f>
        <v>2710</v>
      </c>
      <c r="H347" s="14">
        <f>[1]Source!H41</f>
        <v>2704</v>
      </c>
      <c r="I347" s="14">
        <f>[1]Source!I41</f>
        <v>2721</v>
      </c>
      <c r="J347" s="14">
        <f>[1]Source!J41</f>
        <v>2674</v>
      </c>
      <c r="K347" s="14">
        <f>[1]Source!K41</f>
        <v>2686</v>
      </c>
      <c r="L347" s="14">
        <f>[1]Source!L41</f>
        <v>2645</v>
      </c>
      <c r="M347" s="14">
        <f>[1]Source!M41</f>
        <v>2640</v>
      </c>
      <c r="N347" s="14">
        <f>[1]Source!N41</f>
        <v>2640</v>
      </c>
      <c r="O347" s="14">
        <f>[1]Source!O41</f>
        <v>2752</v>
      </c>
      <c r="P347" s="14">
        <f>SUM(D347:O347)</f>
        <v>32988</v>
      </c>
      <c r="Q347" s="17">
        <f>SUM(D347:J347)</f>
        <v>19625</v>
      </c>
      <c r="R347" s="14">
        <f>P347-Q347</f>
        <v>13363</v>
      </c>
    </row>
    <row r="348" spans="1:18">
      <c r="A348" s="27" t="s">
        <v>121</v>
      </c>
      <c r="C348" s="14"/>
      <c r="D348" s="17">
        <v>-1332</v>
      </c>
      <c r="E348" s="17">
        <v>-146</v>
      </c>
      <c r="F348" s="17">
        <v>-3282</v>
      </c>
      <c r="G348" s="17">
        <v>-525</v>
      </c>
      <c r="H348" s="17">
        <v>-5921</v>
      </c>
      <c r="I348" s="17">
        <v>-4418</v>
      </c>
      <c r="J348" s="17">
        <v>-81</v>
      </c>
      <c r="K348" s="17">
        <v>-528</v>
      </c>
      <c r="L348" s="17">
        <v>-2657</v>
      </c>
      <c r="M348" s="17">
        <v>-2065</v>
      </c>
      <c r="N348" s="17">
        <v>-415</v>
      </c>
      <c r="O348" s="17">
        <v>-4928</v>
      </c>
      <c r="P348" s="14">
        <f>SUM(D348:O348)</f>
        <v>-26298</v>
      </c>
      <c r="Q348" s="17">
        <f>SUM(D348:J348)</f>
        <v>-15705</v>
      </c>
      <c r="R348" s="14">
        <f>P348-Q348</f>
        <v>-10593</v>
      </c>
    </row>
    <row r="349" spans="1:18">
      <c r="A349" s="27" t="s">
        <v>122</v>
      </c>
      <c r="C349" s="14"/>
      <c r="D349" s="17">
        <v>0</v>
      </c>
      <c r="E349" s="17">
        <v>0</v>
      </c>
      <c r="F349" s="17">
        <v>0</v>
      </c>
      <c r="G349" s="17">
        <v>0</v>
      </c>
      <c r="H349" s="17">
        <v>0</v>
      </c>
      <c r="I349" s="17">
        <v>0</v>
      </c>
      <c r="J349" s="17">
        <v>0</v>
      </c>
      <c r="K349" s="17">
        <v>0</v>
      </c>
      <c r="L349" s="17">
        <v>-200</v>
      </c>
      <c r="M349" s="17">
        <v>0</v>
      </c>
      <c r="N349" s="17">
        <v>0</v>
      </c>
      <c r="O349" s="17">
        <v>-200</v>
      </c>
      <c r="P349" s="14">
        <f>SUM(D349:O349)</f>
        <v>-400</v>
      </c>
      <c r="Q349" s="17">
        <f>SUM(D349:J349)</f>
        <v>0</v>
      </c>
      <c r="R349" s="14">
        <f>P349-Q349</f>
        <v>-400</v>
      </c>
    </row>
    <row r="350" spans="1:18">
      <c r="A350" s="27" t="s">
        <v>123</v>
      </c>
      <c r="B350" s="18" t="s">
        <v>26</v>
      </c>
      <c r="C350" s="14"/>
      <c r="D350" s="16">
        <f>[1]Source!D40</f>
        <v>-544</v>
      </c>
      <c r="E350" s="16">
        <f>[1]Source!E40</f>
        <v>-852</v>
      </c>
      <c r="F350" s="16">
        <f>[1]Source!F40</f>
        <v>-415</v>
      </c>
      <c r="G350" s="16">
        <f>[1]Source!G40</f>
        <v>-397</v>
      </c>
      <c r="H350" s="16">
        <f>[1]Source!H40</f>
        <v>-406</v>
      </c>
      <c r="I350" s="16">
        <f>[1]Source!I40</f>
        <v>-409</v>
      </c>
      <c r="J350" s="16">
        <f>[1]Source!J40</f>
        <v>-385</v>
      </c>
      <c r="K350" s="16">
        <f>[1]Source!K40</f>
        <v>-377</v>
      </c>
      <c r="L350" s="16">
        <f>[1]Source!L40</f>
        <v>-346</v>
      </c>
      <c r="M350" s="16">
        <f>[1]Source!M40</f>
        <v>-341</v>
      </c>
      <c r="N350" s="16">
        <f>[1]Source!N40</f>
        <v>-341</v>
      </c>
      <c r="O350" s="16">
        <f>[1]Source!O40</f>
        <v>-453</v>
      </c>
      <c r="P350" s="16">
        <f>SUM(D350:O350)</f>
        <v>-5266</v>
      </c>
      <c r="Q350" s="25">
        <f>SUM(D350:J350)</f>
        <v>-3408</v>
      </c>
      <c r="R350" s="16">
        <f>P350-Q350</f>
        <v>-1858</v>
      </c>
    </row>
    <row r="351" spans="1:18" ht="3.95" customHeight="1"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1:18">
      <c r="A352" s="27" t="s">
        <v>124</v>
      </c>
      <c r="C352" s="14"/>
      <c r="D352" s="16">
        <f t="shared" ref="D352:Q352" si="117">SUM(D347:D351)</f>
        <v>1031</v>
      </c>
      <c r="E352" s="16">
        <f t="shared" si="117"/>
        <v>2204</v>
      </c>
      <c r="F352" s="16">
        <f t="shared" si="117"/>
        <v>-990</v>
      </c>
      <c r="G352" s="16">
        <f t="shared" si="117"/>
        <v>1788</v>
      </c>
      <c r="H352" s="16">
        <f t="shared" si="117"/>
        <v>-3623</v>
      </c>
      <c r="I352" s="16">
        <f t="shared" si="117"/>
        <v>-2106</v>
      </c>
      <c r="J352" s="16">
        <f t="shared" si="117"/>
        <v>2208</v>
      </c>
      <c r="K352" s="16">
        <f t="shared" si="117"/>
        <v>1781</v>
      </c>
      <c r="L352" s="16">
        <f t="shared" si="117"/>
        <v>-558</v>
      </c>
      <c r="M352" s="16">
        <f t="shared" si="117"/>
        <v>234</v>
      </c>
      <c r="N352" s="16">
        <f t="shared" si="117"/>
        <v>1884</v>
      </c>
      <c r="O352" s="16">
        <f t="shared" si="117"/>
        <v>-2829</v>
      </c>
      <c r="P352" s="16">
        <f t="shared" si="117"/>
        <v>1024</v>
      </c>
      <c r="Q352" s="16">
        <f t="shared" si="117"/>
        <v>512</v>
      </c>
      <c r="R352" s="16">
        <f>P352-Q352</f>
        <v>512</v>
      </c>
    </row>
    <row r="353" spans="1:18" ht="6" customHeight="1"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</row>
    <row r="354" spans="1:18">
      <c r="A354" s="27" t="s">
        <v>125</v>
      </c>
      <c r="B354" s="18" t="s">
        <v>26</v>
      </c>
      <c r="C354" s="14"/>
      <c r="D354" s="16">
        <f>[1]Source!D55</f>
        <v>12782</v>
      </c>
      <c r="E354" s="16">
        <f>[1]Source!E55</f>
        <v>12247</v>
      </c>
      <c r="F354" s="16">
        <f>[1]Source!F55</f>
        <v>11540</v>
      </c>
      <c r="G354" s="16">
        <f>[1]Source!G55</f>
        <v>1935</v>
      </c>
      <c r="H354" s="16">
        <f>[1]Source!H55</f>
        <v>649</v>
      </c>
      <c r="I354" s="16">
        <f>[1]Source!I55</f>
        <v>2005</v>
      </c>
      <c r="J354" s="16">
        <f>[1]Source!J55</f>
        <v>938</v>
      </c>
      <c r="K354" s="16">
        <f>[1]Source!K55</f>
        <v>1611</v>
      </c>
      <c r="L354" s="16">
        <f>[1]Source!L55</f>
        <v>435</v>
      </c>
      <c r="M354" s="16">
        <f>[1]Source!M55</f>
        <v>-761</v>
      </c>
      <c r="N354" s="16">
        <f>[1]Source!N55</f>
        <v>10677</v>
      </c>
      <c r="O354" s="16">
        <f>[1]Source!O55</f>
        <v>10940</v>
      </c>
      <c r="P354" s="16">
        <f>SUM(D354:O354)</f>
        <v>64998</v>
      </c>
      <c r="Q354" s="25">
        <f>SUM(D354:J354)</f>
        <v>42096</v>
      </c>
      <c r="R354" s="16">
        <f>P354-Q354</f>
        <v>22902</v>
      </c>
    </row>
    <row r="355" spans="1:18" ht="6" customHeight="1"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</row>
    <row r="356" spans="1:18">
      <c r="A356" s="27" t="s">
        <v>126</v>
      </c>
      <c r="B356" s="18" t="s">
        <v>26</v>
      </c>
      <c r="C356" s="14"/>
      <c r="D356" s="14">
        <f>-[1]Source!D51</f>
        <v>9422</v>
      </c>
      <c r="E356" s="14">
        <f>-[1]Source!E51</f>
        <v>11999</v>
      </c>
      <c r="F356" s="14">
        <f>-[1]Source!F51</f>
        <v>12591</v>
      </c>
      <c r="G356" s="14">
        <f>-[1]Source!G51</f>
        <v>-21503</v>
      </c>
      <c r="H356" s="14">
        <f>-[1]Source!H51</f>
        <v>-1023</v>
      </c>
      <c r="I356" s="14">
        <f>-[1]Source!I51</f>
        <v>5003</v>
      </c>
      <c r="J356" s="14">
        <f>-[1]Source!J51</f>
        <v>-131</v>
      </c>
      <c r="K356" s="14">
        <f>-[1]Source!K51</f>
        <v>-1827</v>
      </c>
      <c r="L356" s="14">
        <f>-[1]Source!L51</f>
        <v>-1869</v>
      </c>
      <c r="M356" s="14">
        <f>-[1]Source!M51</f>
        <v>10912</v>
      </c>
      <c r="N356" s="14">
        <f>-[1]Source!N51</f>
        <v>11850</v>
      </c>
      <c r="O356" s="14">
        <f>-[1]Source!O51</f>
        <v>10262</v>
      </c>
      <c r="P356" s="14">
        <f>SUM(D356:O356)</f>
        <v>45686</v>
      </c>
      <c r="Q356" s="17">
        <f>SUM(D356:J356)</f>
        <v>16358</v>
      </c>
      <c r="R356" s="14">
        <f>P356-Q356</f>
        <v>29328</v>
      </c>
    </row>
    <row r="357" spans="1:18">
      <c r="A357" s="27" t="s">
        <v>499</v>
      </c>
      <c r="C357" s="14"/>
      <c r="D357" s="231">
        <f>-9181-268</f>
        <v>-9449</v>
      </c>
      <c r="E357" s="231">
        <f>-11806-200</f>
        <v>-12006</v>
      </c>
      <c r="F357" s="231">
        <f>-12396-194</f>
        <v>-12590</v>
      </c>
      <c r="G357" s="231">
        <f>21771-534</f>
        <v>21237</v>
      </c>
      <c r="H357" s="231">
        <f>1114-195</f>
        <v>919</v>
      </c>
      <c r="I357" s="238">
        <f>(6273-11120)-237</f>
        <v>-5084</v>
      </c>
      <c r="J357" s="238">
        <f>(-10864+11120)-202</f>
        <v>54</v>
      </c>
      <c r="K357" s="16">
        <f>-K356</f>
        <v>1827</v>
      </c>
      <c r="L357" s="16">
        <f>-L356</f>
        <v>1869</v>
      </c>
      <c r="M357" s="16">
        <f>-M356</f>
        <v>-10912</v>
      </c>
      <c r="N357" s="16">
        <f>-N356</f>
        <v>-11850</v>
      </c>
      <c r="O357" s="16">
        <f>-O356</f>
        <v>-10262</v>
      </c>
      <c r="P357" s="16">
        <f>SUM(D357:O357)</f>
        <v>-46247</v>
      </c>
      <c r="Q357" s="25">
        <f>SUM(D357:J357)</f>
        <v>-16919</v>
      </c>
      <c r="R357" s="16">
        <f>P357-Q357</f>
        <v>-29328</v>
      </c>
    </row>
    <row r="358" spans="1:18" ht="3.95" customHeight="1"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</row>
    <row r="359" spans="1:18">
      <c r="A359" s="27" t="s">
        <v>127</v>
      </c>
      <c r="C359" s="14"/>
      <c r="D359" s="14">
        <f t="shared" ref="D359:Q359" si="118">D356+D357</f>
        <v>-27</v>
      </c>
      <c r="E359" s="14">
        <f t="shared" si="118"/>
        <v>-7</v>
      </c>
      <c r="F359" s="14">
        <f t="shared" si="118"/>
        <v>1</v>
      </c>
      <c r="G359" s="14">
        <f t="shared" si="118"/>
        <v>-266</v>
      </c>
      <c r="H359" s="14">
        <f t="shared" si="118"/>
        <v>-104</v>
      </c>
      <c r="I359" s="14">
        <f t="shared" si="118"/>
        <v>-81</v>
      </c>
      <c r="J359" s="14">
        <f t="shared" si="118"/>
        <v>-77</v>
      </c>
      <c r="K359" s="14">
        <f t="shared" si="118"/>
        <v>0</v>
      </c>
      <c r="L359" s="14">
        <f t="shared" si="118"/>
        <v>0</v>
      </c>
      <c r="M359" s="14">
        <f t="shared" si="118"/>
        <v>0</v>
      </c>
      <c r="N359" s="14">
        <f t="shared" si="118"/>
        <v>0</v>
      </c>
      <c r="O359" s="14">
        <f t="shared" si="118"/>
        <v>0</v>
      </c>
      <c r="P359" s="14">
        <f t="shared" si="118"/>
        <v>-561</v>
      </c>
      <c r="Q359" s="14">
        <f t="shared" si="118"/>
        <v>-561</v>
      </c>
      <c r="R359" s="14">
        <f>P359-Q359</f>
        <v>0</v>
      </c>
    </row>
    <row r="360" spans="1:18">
      <c r="A360" s="27" t="s">
        <v>124</v>
      </c>
      <c r="C360" s="14"/>
      <c r="D360" s="16">
        <f t="shared" ref="D360:Q360" si="119">D352</f>
        <v>1031</v>
      </c>
      <c r="E360" s="16">
        <f t="shared" si="119"/>
        <v>2204</v>
      </c>
      <c r="F360" s="16">
        <f t="shared" si="119"/>
        <v>-990</v>
      </c>
      <c r="G360" s="16">
        <f t="shared" si="119"/>
        <v>1788</v>
      </c>
      <c r="H360" s="16">
        <f t="shared" si="119"/>
        <v>-3623</v>
      </c>
      <c r="I360" s="16">
        <f t="shared" si="119"/>
        <v>-2106</v>
      </c>
      <c r="J360" s="16">
        <f t="shared" si="119"/>
        <v>2208</v>
      </c>
      <c r="K360" s="16">
        <f t="shared" si="119"/>
        <v>1781</v>
      </c>
      <c r="L360" s="16">
        <f t="shared" si="119"/>
        <v>-558</v>
      </c>
      <c r="M360" s="16">
        <f t="shared" si="119"/>
        <v>234</v>
      </c>
      <c r="N360" s="16">
        <f t="shared" si="119"/>
        <v>1884</v>
      </c>
      <c r="O360" s="16">
        <f t="shared" si="119"/>
        <v>-2829</v>
      </c>
      <c r="P360" s="16">
        <f t="shared" si="119"/>
        <v>1024</v>
      </c>
      <c r="Q360" s="16">
        <f t="shared" si="119"/>
        <v>512</v>
      </c>
      <c r="R360" s="16">
        <f>P360-Q360</f>
        <v>512</v>
      </c>
    </row>
    <row r="361" spans="1:18" ht="3.95" customHeight="1"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1:18">
      <c r="A362" s="27" t="s">
        <v>128</v>
      </c>
      <c r="C362" s="14"/>
      <c r="D362" s="14">
        <f t="shared" ref="D362:Q362" si="120">D359+D360</f>
        <v>1004</v>
      </c>
      <c r="E362" s="14">
        <f t="shared" si="120"/>
        <v>2197</v>
      </c>
      <c r="F362" s="14">
        <f t="shared" si="120"/>
        <v>-989</v>
      </c>
      <c r="G362" s="14">
        <f t="shared" si="120"/>
        <v>1522</v>
      </c>
      <c r="H362" s="14">
        <f t="shared" si="120"/>
        <v>-3727</v>
      </c>
      <c r="I362" s="14">
        <f t="shared" si="120"/>
        <v>-2187</v>
      </c>
      <c r="J362" s="14">
        <f t="shared" si="120"/>
        <v>2131</v>
      </c>
      <c r="K362" s="14">
        <f t="shared" si="120"/>
        <v>1781</v>
      </c>
      <c r="L362" s="14">
        <f t="shared" si="120"/>
        <v>-558</v>
      </c>
      <c r="M362" s="14">
        <f t="shared" si="120"/>
        <v>234</v>
      </c>
      <c r="N362" s="14">
        <f t="shared" si="120"/>
        <v>1884</v>
      </c>
      <c r="O362" s="14">
        <f t="shared" si="120"/>
        <v>-2829</v>
      </c>
      <c r="P362" s="14">
        <f t="shared" si="120"/>
        <v>463</v>
      </c>
      <c r="Q362" s="14">
        <f t="shared" si="120"/>
        <v>-49</v>
      </c>
      <c r="R362" s="14">
        <f>P362-Q362</f>
        <v>512</v>
      </c>
    </row>
    <row r="363" spans="1:18">
      <c r="A363" s="27" t="s">
        <v>129</v>
      </c>
      <c r="C363" s="14"/>
      <c r="D363" s="14">
        <f t="shared" ref="D363:O363" si="121">C366</f>
        <v>25457</v>
      </c>
      <c r="E363" s="14">
        <f t="shared" si="121"/>
        <v>24562</v>
      </c>
      <c r="F363" s="14">
        <f t="shared" si="121"/>
        <v>28662</v>
      </c>
      <c r="G363" s="14">
        <f t="shared" si="121"/>
        <v>27244</v>
      </c>
      <c r="H363" s="14">
        <f t="shared" si="121"/>
        <v>28999</v>
      </c>
      <c r="I363" s="14">
        <f t="shared" si="121"/>
        <v>25378</v>
      </c>
      <c r="J363" s="14">
        <f t="shared" si="121"/>
        <v>23505</v>
      </c>
      <c r="K363" s="14">
        <f t="shared" si="121"/>
        <v>25898</v>
      </c>
      <c r="L363" s="14">
        <f t="shared" si="121"/>
        <v>27679</v>
      </c>
      <c r="M363" s="14">
        <f t="shared" si="121"/>
        <v>27121</v>
      </c>
      <c r="N363" s="14">
        <f t="shared" si="121"/>
        <v>27355</v>
      </c>
      <c r="O363" s="14">
        <f t="shared" si="121"/>
        <v>29239</v>
      </c>
      <c r="P363" s="14"/>
    </row>
    <row r="364" spans="1:18">
      <c r="A364" s="27" t="s">
        <v>115</v>
      </c>
      <c r="C364" s="25">
        <v>0</v>
      </c>
      <c r="D364" s="25">
        <v>-1899</v>
      </c>
      <c r="E364" s="25">
        <v>1903</v>
      </c>
      <c r="F364" s="25">
        <v>-429</v>
      </c>
      <c r="G364" s="25">
        <v>233</v>
      </c>
      <c r="H364" s="25">
        <v>106</v>
      </c>
      <c r="I364" s="25">
        <v>314</v>
      </c>
      <c r="J364" s="25">
        <v>262</v>
      </c>
      <c r="K364" s="25">
        <v>0</v>
      </c>
      <c r="L364" s="25">
        <v>0</v>
      </c>
      <c r="M364" s="25">
        <v>0</v>
      </c>
      <c r="N364" s="25">
        <v>0</v>
      </c>
      <c r="O364" s="25">
        <v>0</v>
      </c>
      <c r="P364" s="16">
        <f>SUM(D364:O364)</f>
        <v>490</v>
      </c>
      <c r="Q364" s="25">
        <f>SUM(D364:J364)</f>
        <v>490</v>
      </c>
      <c r="R364" s="16">
        <f>P364-Q364</f>
        <v>0</v>
      </c>
    </row>
    <row r="365" spans="1:18" ht="3.95" customHeight="1"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</row>
    <row r="366" spans="1:18">
      <c r="A366" s="26" t="s">
        <v>130</v>
      </c>
      <c r="C366" s="17">
        <v>25457</v>
      </c>
      <c r="D366" s="14">
        <f t="shared" ref="D366:O366" si="122">SUM(D362:D365)</f>
        <v>24562</v>
      </c>
      <c r="E366" s="14">
        <f t="shared" si="122"/>
        <v>28662</v>
      </c>
      <c r="F366" s="14">
        <f t="shared" si="122"/>
        <v>27244</v>
      </c>
      <c r="G366" s="14">
        <f t="shared" si="122"/>
        <v>28999</v>
      </c>
      <c r="H366" s="14">
        <f t="shared" si="122"/>
        <v>25378</v>
      </c>
      <c r="I366" s="14">
        <f t="shared" si="122"/>
        <v>23505</v>
      </c>
      <c r="J366" s="14">
        <f t="shared" si="122"/>
        <v>25898</v>
      </c>
      <c r="K366" s="14">
        <f t="shared" si="122"/>
        <v>27679</v>
      </c>
      <c r="L366" s="14">
        <f t="shared" si="122"/>
        <v>27121</v>
      </c>
      <c r="M366" s="14">
        <f t="shared" si="122"/>
        <v>27355</v>
      </c>
      <c r="N366" s="14">
        <f t="shared" si="122"/>
        <v>29239</v>
      </c>
      <c r="O366" s="14">
        <f t="shared" si="122"/>
        <v>26410</v>
      </c>
      <c r="P366" s="14"/>
    </row>
    <row r="367" spans="1:18" ht="3.95" customHeight="1"/>
    <row r="368" spans="1:18">
      <c r="A368" s="27" t="s">
        <v>23</v>
      </c>
      <c r="C368" s="14"/>
      <c r="D368" s="14">
        <f t="shared" ref="D368:O368" si="123">D366-C366</f>
        <v>-895</v>
      </c>
      <c r="E368" s="14">
        <f t="shared" si="123"/>
        <v>4100</v>
      </c>
      <c r="F368" s="14">
        <f t="shared" si="123"/>
        <v>-1418</v>
      </c>
      <c r="G368" s="14">
        <f t="shared" si="123"/>
        <v>1755</v>
      </c>
      <c r="H368" s="14">
        <f t="shared" si="123"/>
        <v>-3621</v>
      </c>
      <c r="I368" s="14">
        <f t="shared" si="123"/>
        <v>-1873</v>
      </c>
      <c r="J368" s="14">
        <f t="shared" si="123"/>
        <v>2393</v>
      </c>
      <c r="K368" s="14">
        <f t="shared" si="123"/>
        <v>1781</v>
      </c>
      <c r="L368" s="14">
        <f t="shared" si="123"/>
        <v>-558</v>
      </c>
      <c r="M368" s="14">
        <f t="shared" si="123"/>
        <v>234</v>
      </c>
      <c r="N368" s="14">
        <f t="shared" si="123"/>
        <v>1884</v>
      </c>
      <c r="O368" s="14">
        <f t="shared" si="123"/>
        <v>-2829</v>
      </c>
      <c r="P368" s="14">
        <f>SUM(D368:O368)</f>
        <v>953</v>
      </c>
      <c r="Q368" s="14">
        <f>Q362+Q364</f>
        <v>441</v>
      </c>
      <c r="R368" s="14">
        <f>P368-Q368</f>
        <v>512</v>
      </c>
    </row>
    <row r="371" spans="1:18">
      <c r="A371" s="26" t="s">
        <v>131</v>
      </c>
      <c r="C371" s="14"/>
      <c r="D371" s="14">
        <f t="shared" ref="D371:O371" si="124">C376</f>
        <v>2374</v>
      </c>
      <c r="E371" s="14">
        <f t="shared" si="124"/>
        <v>2474</v>
      </c>
      <c r="F371" s="14">
        <f t="shared" si="124"/>
        <v>2476</v>
      </c>
      <c r="G371" s="14">
        <f t="shared" si="124"/>
        <v>2476</v>
      </c>
      <c r="H371" s="14">
        <f t="shared" si="124"/>
        <v>2477</v>
      </c>
      <c r="I371" s="14">
        <f t="shared" si="124"/>
        <v>2478</v>
      </c>
      <c r="J371" s="14">
        <f t="shared" si="124"/>
        <v>2478</v>
      </c>
      <c r="K371" s="14">
        <f t="shared" si="124"/>
        <v>2479</v>
      </c>
      <c r="L371" s="14">
        <f t="shared" si="124"/>
        <v>2479</v>
      </c>
      <c r="M371" s="14">
        <f t="shared" si="124"/>
        <v>2479</v>
      </c>
      <c r="N371" s="14">
        <f t="shared" si="124"/>
        <v>2479</v>
      </c>
      <c r="O371" s="14">
        <f t="shared" si="124"/>
        <v>2479</v>
      </c>
      <c r="P371" s="14"/>
    </row>
    <row r="372" spans="1:18">
      <c r="A372" s="27" t="s">
        <v>132</v>
      </c>
      <c r="B372" s="18" t="s">
        <v>26</v>
      </c>
      <c r="C372" s="14"/>
      <c r="D372" s="14">
        <f>[1]Source!D52</f>
        <v>0</v>
      </c>
      <c r="E372" s="14">
        <f>[1]Source!E52</f>
        <v>0</v>
      </c>
      <c r="F372" s="14">
        <f>[1]Source!F52</f>
        <v>0</v>
      </c>
      <c r="G372" s="14">
        <f>[1]Source!G52</f>
        <v>0</v>
      </c>
      <c r="H372" s="14">
        <f>[1]Source!H52</f>
        <v>0</v>
      </c>
      <c r="I372" s="14">
        <f>[1]Source!I52</f>
        <v>0</v>
      </c>
      <c r="J372" s="14">
        <f>[1]Source!J52</f>
        <v>0</v>
      </c>
      <c r="K372" s="14">
        <f>[1]Source!K52</f>
        <v>0</v>
      </c>
      <c r="L372" s="14">
        <f>[1]Source!L52</f>
        <v>0</v>
      </c>
      <c r="M372" s="14">
        <f>[1]Source!M52</f>
        <v>0</v>
      </c>
      <c r="N372" s="14">
        <f>[1]Source!N52</f>
        <v>0</v>
      </c>
      <c r="O372" s="14">
        <f>[1]Source!O52</f>
        <v>0</v>
      </c>
      <c r="P372" s="14">
        <f>SUM(D372:O372)</f>
        <v>0</v>
      </c>
      <c r="Q372" s="17">
        <f>SUM(D372:J372)</f>
        <v>0</v>
      </c>
      <c r="R372" s="14">
        <f>P372-Q372</f>
        <v>0</v>
      </c>
    </row>
    <row r="373" spans="1:18">
      <c r="A373" s="27" t="s">
        <v>133</v>
      </c>
      <c r="B373" s="18"/>
      <c r="C373" s="14"/>
      <c r="D373" s="17">
        <v>100</v>
      </c>
      <c r="E373" s="17">
        <v>2</v>
      </c>
      <c r="F373" s="17">
        <v>0</v>
      </c>
      <c r="G373" s="17">
        <v>1</v>
      </c>
      <c r="H373" s="17">
        <v>1</v>
      </c>
      <c r="I373" s="17">
        <v>0</v>
      </c>
      <c r="J373" s="17">
        <v>1</v>
      </c>
      <c r="K373" s="17">
        <v>0</v>
      </c>
      <c r="L373" s="17">
        <v>0</v>
      </c>
      <c r="M373" s="17">
        <v>0</v>
      </c>
      <c r="N373" s="17">
        <v>0</v>
      </c>
      <c r="O373" s="17">
        <v>0</v>
      </c>
      <c r="P373" s="14">
        <f>SUM(D373:O373)</f>
        <v>105</v>
      </c>
      <c r="Q373" s="17">
        <f>SUM(D373:J373)</f>
        <v>105</v>
      </c>
      <c r="R373" s="14">
        <f>P373-Q373</f>
        <v>0</v>
      </c>
    </row>
    <row r="374" spans="1:18">
      <c r="A374" s="27" t="s">
        <v>115</v>
      </c>
      <c r="C374" s="25">
        <v>0</v>
      </c>
      <c r="D374" s="25">
        <v>0</v>
      </c>
      <c r="E374" s="25">
        <v>0</v>
      </c>
      <c r="F374" s="25">
        <v>0</v>
      </c>
      <c r="G374" s="25">
        <v>0</v>
      </c>
      <c r="H374" s="25">
        <v>0</v>
      </c>
      <c r="I374" s="25">
        <v>0</v>
      </c>
      <c r="J374" s="25">
        <v>0</v>
      </c>
      <c r="K374" s="25">
        <v>0</v>
      </c>
      <c r="L374" s="25">
        <v>0</v>
      </c>
      <c r="M374" s="25">
        <v>0</v>
      </c>
      <c r="N374" s="25">
        <v>0</v>
      </c>
      <c r="O374" s="25">
        <v>0</v>
      </c>
      <c r="P374" s="16">
        <f>SUM(D374:O374)</f>
        <v>0</v>
      </c>
      <c r="Q374" s="25">
        <f>SUM(D374:J374)</f>
        <v>0</v>
      </c>
      <c r="R374" s="16">
        <f>P374-Q374</f>
        <v>0</v>
      </c>
    </row>
    <row r="375" spans="1:18" ht="3.95" customHeight="1"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1:18">
      <c r="A376" s="26" t="s">
        <v>134</v>
      </c>
      <c r="C376" s="17">
        <v>2374</v>
      </c>
      <c r="D376" s="14">
        <f t="shared" ref="D376:O376" si="125">SUM(D371:D375)</f>
        <v>2474</v>
      </c>
      <c r="E376" s="14">
        <f t="shared" si="125"/>
        <v>2476</v>
      </c>
      <c r="F376" s="14">
        <f t="shared" si="125"/>
        <v>2476</v>
      </c>
      <c r="G376" s="14">
        <f t="shared" si="125"/>
        <v>2477</v>
      </c>
      <c r="H376" s="14">
        <f t="shared" si="125"/>
        <v>2478</v>
      </c>
      <c r="I376" s="14">
        <f t="shared" si="125"/>
        <v>2478</v>
      </c>
      <c r="J376" s="14">
        <f t="shared" si="125"/>
        <v>2479</v>
      </c>
      <c r="K376" s="14">
        <f t="shared" si="125"/>
        <v>2479</v>
      </c>
      <c r="L376" s="14">
        <f t="shared" si="125"/>
        <v>2479</v>
      </c>
      <c r="M376" s="14">
        <f t="shared" si="125"/>
        <v>2479</v>
      </c>
      <c r="N376" s="14">
        <f t="shared" si="125"/>
        <v>2479</v>
      </c>
      <c r="O376" s="14">
        <f t="shared" si="125"/>
        <v>2479</v>
      </c>
      <c r="P376" s="14"/>
    </row>
    <row r="377" spans="1:18" ht="3.95" customHeight="1"/>
    <row r="378" spans="1:18">
      <c r="A378" s="27" t="s">
        <v>23</v>
      </c>
      <c r="C378" s="14"/>
      <c r="D378" s="14">
        <f t="shared" ref="D378:O378" si="126">D376-C376</f>
        <v>100</v>
      </c>
      <c r="E378" s="14">
        <f t="shared" si="126"/>
        <v>2</v>
      </c>
      <c r="F378" s="14">
        <f t="shared" si="126"/>
        <v>0</v>
      </c>
      <c r="G378" s="14">
        <f t="shared" si="126"/>
        <v>1</v>
      </c>
      <c r="H378" s="14">
        <f t="shared" si="126"/>
        <v>1</v>
      </c>
      <c r="I378" s="14">
        <f t="shared" si="126"/>
        <v>0</v>
      </c>
      <c r="J378" s="14">
        <f t="shared" si="126"/>
        <v>1</v>
      </c>
      <c r="K378" s="14">
        <f t="shared" si="126"/>
        <v>0</v>
      </c>
      <c r="L378" s="14">
        <f t="shared" si="126"/>
        <v>0</v>
      </c>
      <c r="M378" s="14">
        <f t="shared" si="126"/>
        <v>0</v>
      </c>
      <c r="N378" s="14">
        <f t="shared" si="126"/>
        <v>0</v>
      </c>
      <c r="O378" s="14">
        <f t="shared" si="126"/>
        <v>0</v>
      </c>
      <c r="P378" s="14">
        <f>SUM(D378:O378)</f>
        <v>105</v>
      </c>
      <c r="Q378" s="14">
        <f>SUM(Q372:Q375)</f>
        <v>105</v>
      </c>
      <c r="R378" s="14">
        <f>P378-Q378</f>
        <v>0</v>
      </c>
    </row>
    <row r="381" spans="1:18">
      <c r="A381" s="26" t="s">
        <v>135</v>
      </c>
      <c r="C381" s="14"/>
      <c r="D381" s="14">
        <f t="shared" ref="D381:O381" si="127">C386</f>
        <v>289220</v>
      </c>
      <c r="E381" s="14">
        <f t="shared" si="127"/>
        <v>292382</v>
      </c>
      <c r="F381" s="14">
        <f t="shared" si="127"/>
        <v>292531</v>
      </c>
      <c r="G381" s="14">
        <f t="shared" si="127"/>
        <v>291319</v>
      </c>
      <c r="H381" s="14">
        <f t="shared" si="127"/>
        <v>314660</v>
      </c>
      <c r="I381" s="14">
        <f t="shared" si="127"/>
        <v>316234</v>
      </c>
      <c r="J381" s="14">
        <f t="shared" si="127"/>
        <v>313249</v>
      </c>
      <c r="K381" s="14">
        <f t="shared" si="127"/>
        <v>314108</v>
      </c>
      <c r="L381" s="14">
        <f t="shared" si="127"/>
        <v>317447</v>
      </c>
      <c r="M381" s="14">
        <f t="shared" si="127"/>
        <v>319654</v>
      </c>
      <c r="N381" s="14">
        <f t="shared" si="127"/>
        <v>307840</v>
      </c>
      <c r="O381" s="14">
        <f t="shared" si="127"/>
        <v>306519</v>
      </c>
      <c r="P381" s="14"/>
    </row>
    <row r="382" spans="1:18">
      <c r="A382" s="27" t="s">
        <v>132</v>
      </c>
      <c r="B382" s="18" t="s">
        <v>26</v>
      </c>
      <c r="C382" s="14"/>
      <c r="D382" s="14">
        <f>[1]Source!D53</f>
        <v>3262</v>
      </c>
      <c r="E382" s="14">
        <f>[1]Source!E53</f>
        <v>150</v>
      </c>
      <c r="F382" s="14">
        <f>[1]Source!F53</f>
        <v>-1147</v>
      </c>
      <c r="G382" s="14">
        <f>[1]Source!G53</f>
        <v>23341</v>
      </c>
      <c r="H382" s="14">
        <f>[1]Source!H53</f>
        <v>1575</v>
      </c>
      <c r="I382" s="14">
        <f>[1]Source!I53</f>
        <v>-2983</v>
      </c>
      <c r="J382" s="14">
        <f>[1]Source!J53</f>
        <v>860</v>
      </c>
      <c r="K382" s="14">
        <f>[1]Source!K53</f>
        <v>3339</v>
      </c>
      <c r="L382" s="14">
        <f>[1]Source!L53</f>
        <v>2207</v>
      </c>
      <c r="M382" s="14">
        <f>[1]Source!M53</f>
        <v>-11814</v>
      </c>
      <c r="N382" s="14">
        <f>[1]Source!N53</f>
        <v>-1321</v>
      </c>
      <c r="O382" s="14">
        <f>[1]Source!O53</f>
        <v>659</v>
      </c>
      <c r="P382" s="14">
        <f>SUM(D382:O382)</f>
        <v>18128</v>
      </c>
      <c r="Q382" s="17">
        <f>SUM(D382:J382)</f>
        <v>25058</v>
      </c>
      <c r="R382" s="14">
        <f>P382-Q382</f>
        <v>-6930</v>
      </c>
    </row>
    <row r="383" spans="1:18">
      <c r="A383" s="27" t="s">
        <v>516</v>
      </c>
      <c r="B383" s="18"/>
      <c r="C383" s="14"/>
      <c r="D383" s="163">
        <f t="shared" ref="D383:O383" si="128">-D373</f>
        <v>-100</v>
      </c>
      <c r="E383" s="163">
        <f t="shared" si="128"/>
        <v>-2</v>
      </c>
      <c r="F383" s="163">
        <f t="shared" si="128"/>
        <v>0</v>
      </c>
      <c r="G383" s="163">
        <f t="shared" si="128"/>
        <v>-1</v>
      </c>
      <c r="H383" s="163">
        <f t="shared" si="128"/>
        <v>-1</v>
      </c>
      <c r="I383" s="163">
        <f t="shared" si="128"/>
        <v>0</v>
      </c>
      <c r="J383" s="163">
        <f t="shared" si="128"/>
        <v>-1</v>
      </c>
      <c r="K383" s="163">
        <f t="shared" si="128"/>
        <v>0</v>
      </c>
      <c r="L383" s="163">
        <f t="shared" si="128"/>
        <v>0</v>
      </c>
      <c r="M383" s="163">
        <f t="shared" si="128"/>
        <v>0</v>
      </c>
      <c r="N383" s="163">
        <f t="shared" si="128"/>
        <v>0</v>
      </c>
      <c r="O383" s="163">
        <f t="shared" si="128"/>
        <v>0</v>
      </c>
      <c r="P383" s="14">
        <f>SUM(D383:O383)</f>
        <v>-105</v>
      </c>
      <c r="Q383" s="17">
        <f>SUM(D383:J383)</f>
        <v>-105</v>
      </c>
      <c r="R383" s="14">
        <f>P383-Q383</f>
        <v>0</v>
      </c>
    </row>
    <row r="384" spans="1:18">
      <c r="A384" s="27" t="s">
        <v>604</v>
      </c>
      <c r="C384" s="25">
        <v>0</v>
      </c>
      <c r="D384" s="25">
        <v>0</v>
      </c>
      <c r="E384" s="25">
        <v>1</v>
      </c>
      <c r="F384" s="25">
        <f>-64-1</f>
        <v>-65</v>
      </c>
      <c r="G384" s="25">
        <v>1</v>
      </c>
      <c r="H384" s="25">
        <v>0</v>
      </c>
      <c r="I384" s="25">
        <v>-2</v>
      </c>
      <c r="J384" s="25">
        <v>0</v>
      </c>
      <c r="K384" s="25">
        <v>0</v>
      </c>
      <c r="L384" s="25">
        <v>0</v>
      </c>
      <c r="M384" s="25">
        <v>0</v>
      </c>
      <c r="N384" s="25">
        <v>0</v>
      </c>
      <c r="O384" s="25">
        <v>0</v>
      </c>
      <c r="P384" s="16">
        <f>SUM(D384:O384)</f>
        <v>-65</v>
      </c>
      <c r="Q384" s="25">
        <f>SUM(D384:J384)</f>
        <v>-65</v>
      </c>
      <c r="R384" s="16">
        <f>P384-Q384</f>
        <v>0</v>
      </c>
    </row>
    <row r="385" spans="1:18" ht="3.95" customHeight="1"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</row>
    <row r="386" spans="1:18">
      <c r="A386" s="26" t="s">
        <v>136</v>
      </c>
      <c r="C386" s="17">
        <v>289220</v>
      </c>
      <c r="D386" s="14">
        <f t="shared" ref="D386:O386" si="129">SUM(D381:D385)</f>
        <v>292382</v>
      </c>
      <c r="E386" s="14">
        <f t="shared" si="129"/>
        <v>292531</v>
      </c>
      <c r="F386" s="14">
        <f t="shared" si="129"/>
        <v>291319</v>
      </c>
      <c r="G386" s="14">
        <f t="shared" si="129"/>
        <v>314660</v>
      </c>
      <c r="H386" s="14">
        <f t="shared" si="129"/>
        <v>316234</v>
      </c>
      <c r="I386" s="14">
        <f t="shared" si="129"/>
        <v>313249</v>
      </c>
      <c r="J386" s="14">
        <f t="shared" si="129"/>
        <v>314108</v>
      </c>
      <c r="K386" s="14">
        <f t="shared" si="129"/>
        <v>317447</v>
      </c>
      <c r="L386" s="14">
        <f t="shared" si="129"/>
        <v>319654</v>
      </c>
      <c r="M386" s="14">
        <f t="shared" si="129"/>
        <v>307840</v>
      </c>
      <c r="N386" s="14">
        <f t="shared" si="129"/>
        <v>306519</v>
      </c>
      <c r="O386" s="14">
        <f t="shared" si="129"/>
        <v>307178</v>
      </c>
      <c r="P386" s="14"/>
    </row>
    <row r="387" spans="1:18" ht="3.95" customHeight="1"/>
    <row r="388" spans="1:18">
      <c r="A388" s="27" t="s">
        <v>23</v>
      </c>
      <c r="C388" s="14"/>
      <c r="D388" s="14">
        <f t="shared" ref="D388:O388" si="130">D386-C386</f>
        <v>3162</v>
      </c>
      <c r="E388" s="14">
        <f t="shared" si="130"/>
        <v>149</v>
      </c>
      <c r="F388" s="14">
        <f t="shared" si="130"/>
        <v>-1212</v>
      </c>
      <c r="G388" s="14">
        <f t="shared" si="130"/>
        <v>23341</v>
      </c>
      <c r="H388" s="14">
        <f t="shared" si="130"/>
        <v>1574</v>
      </c>
      <c r="I388" s="14">
        <f t="shared" si="130"/>
        <v>-2985</v>
      </c>
      <c r="J388" s="14">
        <f t="shared" si="130"/>
        <v>859</v>
      </c>
      <c r="K388" s="14">
        <f t="shared" si="130"/>
        <v>3339</v>
      </c>
      <c r="L388" s="14">
        <f t="shared" si="130"/>
        <v>2207</v>
      </c>
      <c r="M388" s="14">
        <f t="shared" si="130"/>
        <v>-11814</v>
      </c>
      <c r="N388" s="14">
        <f t="shared" si="130"/>
        <v>-1321</v>
      </c>
      <c r="O388" s="14">
        <f t="shared" si="130"/>
        <v>659</v>
      </c>
      <c r="P388" s="14">
        <f>SUM(D388:O388)</f>
        <v>17958</v>
      </c>
      <c r="Q388" s="14">
        <f>SUM(Q382:Q385)</f>
        <v>24888</v>
      </c>
      <c r="R388" s="14">
        <f>P388-Q388</f>
        <v>-6930</v>
      </c>
    </row>
    <row r="391" spans="1:18">
      <c r="A391" s="26" t="s">
        <v>137</v>
      </c>
      <c r="C391" s="14"/>
      <c r="D391" s="14">
        <f t="shared" ref="D391:O391" si="131">C396</f>
        <v>5634</v>
      </c>
      <c r="E391" s="14">
        <f t="shared" si="131"/>
        <v>8509</v>
      </c>
      <c r="F391" s="14">
        <f t="shared" si="131"/>
        <v>11384</v>
      </c>
      <c r="G391" s="14">
        <f t="shared" si="131"/>
        <v>9197</v>
      </c>
      <c r="H391" s="14">
        <f t="shared" si="131"/>
        <v>12072</v>
      </c>
      <c r="I391" s="14">
        <f t="shared" si="131"/>
        <v>11509</v>
      </c>
      <c r="J391" s="14">
        <f t="shared" si="131"/>
        <v>5634</v>
      </c>
      <c r="K391" s="14">
        <f t="shared" si="131"/>
        <v>8509</v>
      </c>
      <c r="L391" s="14">
        <f t="shared" si="131"/>
        <v>11384</v>
      </c>
      <c r="M391" s="14">
        <f t="shared" si="131"/>
        <v>9197</v>
      </c>
      <c r="N391" s="14">
        <f t="shared" si="131"/>
        <v>12072</v>
      </c>
      <c r="O391" s="14">
        <f t="shared" si="131"/>
        <v>11509</v>
      </c>
      <c r="P391" s="14"/>
      <c r="Q391" s="14"/>
      <c r="R391" s="14"/>
    </row>
    <row r="392" spans="1:18">
      <c r="A392" s="27" t="s">
        <v>138</v>
      </c>
      <c r="D392" s="17">
        <f>573+1458+844</f>
        <v>2875</v>
      </c>
      <c r="E392" s="17">
        <f>573+1458+844</f>
        <v>2875</v>
      </c>
      <c r="F392" s="17">
        <f>573+1459+844</f>
        <v>2876</v>
      </c>
      <c r="G392" s="17">
        <f>573+1458+844</f>
        <v>2875</v>
      </c>
      <c r="H392" s="17">
        <f>573+1457+844</f>
        <v>2874</v>
      </c>
      <c r="I392" s="17">
        <f>573+1458+844</f>
        <v>2875</v>
      </c>
      <c r="J392" s="17">
        <f>573+1458+844</f>
        <v>2875</v>
      </c>
      <c r="K392" s="17">
        <f>573+1459+843</f>
        <v>2875</v>
      </c>
      <c r="L392" s="17">
        <f>573+1459+843</f>
        <v>2875</v>
      </c>
      <c r="M392" s="17">
        <f>573+1458+844</f>
        <v>2875</v>
      </c>
      <c r="N392" s="17">
        <f>573+1458+844</f>
        <v>2875</v>
      </c>
      <c r="O392" s="17">
        <f>573+1459+843</f>
        <v>2875</v>
      </c>
      <c r="P392" s="14">
        <f>SUM(D392:O392)</f>
        <v>34500</v>
      </c>
      <c r="Q392" s="17">
        <f>SUM(D392:J392)</f>
        <v>20125</v>
      </c>
      <c r="R392" s="14">
        <f>P392-Q392</f>
        <v>14375</v>
      </c>
    </row>
    <row r="393" spans="1:18">
      <c r="A393" s="27" t="s">
        <v>139</v>
      </c>
      <c r="D393" s="17">
        <v>0</v>
      </c>
      <c r="E393" s="17">
        <v>0</v>
      </c>
      <c r="F393" s="17">
        <v>-5063</v>
      </c>
      <c r="G393" s="17">
        <v>0</v>
      </c>
      <c r="H393" s="17">
        <f>-3437</f>
        <v>-3437</v>
      </c>
      <c r="I393" s="17">
        <v>-8750</v>
      </c>
      <c r="J393" s="17">
        <v>0</v>
      </c>
      <c r="K393" s="17">
        <v>0</v>
      </c>
      <c r="L393" s="17">
        <v>-5062</v>
      </c>
      <c r="M393" s="17">
        <v>0</v>
      </c>
      <c r="N393" s="17">
        <v>-3438</v>
      </c>
      <c r="O393" s="17">
        <v>-8750</v>
      </c>
      <c r="P393" s="14">
        <f>SUM(D393:O393)</f>
        <v>-34500</v>
      </c>
      <c r="Q393" s="17">
        <f>SUM(D393:J393)</f>
        <v>-17250</v>
      </c>
      <c r="R393" s="14">
        <f>P393-Q393</f>
        <v>-17250</v>
      </c>
    </row>
    <row r="394" spans="1:18">
      <c r="A394" s="27" t="s">
        <v>115</v>
      </c>
      <c r="C394" s="25">
        <v>0</v>
      </c>
      <c r="D394" s="25">
        <v>0</v>
      </c>
      <c r="E394" s="25">
        <v>0</v>
      </c>
      <c r="F394" s="25">
        <v>0</v>
      </c>
      <c r="G394" s="25">
        <v>0</v>
      </c>
      <c r="H394" s="25">
        <v>0</v>
      </c>
      <c r="I394" s="25">
        <v>0</v>
      </c>
      <c r="J394" s="25">
        <v>0</v>
      </c>
      <c r="K394" s="25">
        <v>0</v>
      </c>
      <c r="L394" s="25">
        <v>0</v>
      </c>
      <c r="M394" s="25">
        <v>0</v>
      </c>
      <c r="N394" s="25">
        <v>0</v>
      </c>
      <c r="O394" s="25">
        <v>0</v>
      </c>
      <c r="P394" s="16">
        <f>SUM(D394:O394)</f>
        <v>0</v>
      </c>
      <c r="Q394" s="25">
        <f>SUM(D394:J394)</f>
        <v>0</v>
      </c>
      <c r="R394" s="16">
        <f>P394-Q394</f>
        <v>0</v>
      </c>
    </row>
    <row r="395" spans="1:18" ht="3.95" customHeight="1"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1:18">
      <c r="A396" s="26" t="s">
        <v>140</v>
      </c>
      <c r="C396" s="17">
        <v>5634</v>
      </c>
      <c r="D396" s="14">
        <f t="shared" ref="D396:O396" si="132">SUM(D391:D395)</f>
        <v>8509</v>
      </c>
      <c r="E396" s="14">
        <f t="shared" si="132"/>
        <v>11384</v>
      </c>
      <c r="F396" s="14">
        <f t="shared" si="132"/>
        <v>9197</v>
      </c>
      <c r="G396" s="14">
        <f t="shared" si="132"/>
        <v>12072</v>
      </c>
      <c r="H396" s="14">
        <f t="shared" si="132"/>
        <v>11509</v>
      </c>
      <c r="I396" s="14">
        <f t="shared" si="132"/>
        <v>5634</v>
      </c>
      <c r="J396" s="14">
        <f t="shared" si="132"/>
        <v>8509</v>
      </c>
      <c r="K396" s="14">
        <f t="shared" si="132"/>
        <v>11384</v>
      </c>
      <c r="L396" s="14">
        <f t="shared" si="132"/>
        <v>9197</v>
      </c>
      <c r="M396" s="14">
        <f t="shared" si="132"/>
        <v>12072</v>
      </c>
      <c r="N396" s="14">
        <f t="shared" si="132"/>
        <v>11509</v>
      </c>
      <c r="O396" s="14">
        <f t="shared" si="132"/>
        <v>5634</v>
      </c>
      <c r="P396" s="14"/>
      <c r="Q396" s="14"/>
      <c r="R396" s="14"/>
    </row>
    <row r="397" spans="1:18" ht="3.95" customHeight="1"/>
    <row r="398" spans="1:18">
      <c r="A398" s="27" t="s">
        <v>23</v>
      </c>
      <c r="C398" s="14"/>
      <c r="D398" s="14">
        <f t="shared" ref="D398:O398" si="133">D396-C396</f>
        <v>2875</v>
      </c>
      <c r="E398" s="14">
        <f t="shared" si="133"/>
        <v>2875</v>
      </c>
      <c r="F398" s="14">
        <f t="shared" si="133"/>
        <v>-2187</v>
      </c>
      <c r="G398" s="14">
        <f t="shared" si="133"/>
        <v>2875</v>
      </c>
      <c r="H398" s="14">
        <f t="shared" si="133"/>
        <v>-563</v>
      </c>
      <c r="I398" s="14">
        <f t="shared" si="133"/>
        <v>-5875</v>
      </c>
      <c r="J398" s="14">
        <f t="shared" si="133"/>
        <v>2875</v>
      </c>
      <c r="K398" s="14">
        <f t="shared" si="133"/>
        <v>2875</v>
      </c>
      <c r="L398" s="14">
        <f t="shared" si="133"/>
        <v>-2187</v>
      </c>
      <c r="M398" s="14">
        <f t="shared" si="133"/>
        <v>2875</v>
      </c>
      <c r="N398" s="14">
        <f t="shared" si="133"/>
        <v>-563</v>
      </c>
      <c r="O398" s="14">
        <f t="shared" si="133"/>
        <v>-5875</v>
      </c>
      <c r="P398" s="14">
        <f>SUM(D398:O398)</f>
        <v>0</v>
      </c>
      <c r="Q398" s="14">
        <f>SUM(Q392:Q395)</f>
        <v>2875</v>
      </c>
      <c r="R398" s="14">
        <f>P398-Q398</f>
        <v>-2875</v>
      </c>
    </row>
    <row r="399" spans="1:18" ht="8.1" customHeight="1">
      <c r="A399"/>
    </row>
    <row r="401" spans="1:18">
      <c r="A401" s="26" t="s">
        <v>141</v>
      </c>
      <c r="C401" s="14"/>
      <c r="D401" s="14">
        <f t="shared" ref="D401:O401" si="134">C416</f>
        <v>17841</v>
      </c>
      <c r="E401" s="14">
        <f t="shared" si="134"/>
        <v>15857</v>
      </c>
      <c r="F401" s="14">
        <f t="shared" si="134"/>
        <v>19620</v>
      </c>
      <c r="G401" s="14">
        <f t="shared" si="134"/>
        <v>20108</v>
      </c>
      <c r="H401" s="14">
        <f t="shared" si="134"/>
        <v>20094</v>
      </c>
      <c r="I401" s="14">
        <f t="shared" si="134"/>
        <v>20415</v>
      </c>
      <c r="J401" s="14">
        <f t="shared" si="134"/>
        <v>20229</v>
      </c>
      <c r="K401" s="14">
        <f t="shared" si="134"/>
        <v>20016</v>
      </c>
      <c r="L401" s="14">
        <f t="shared" si="134"/>
        <v>19881</v>
      </c>
      <c r="M401" s="14">
        <f t="shared" si="134"/>
        <v>19681</v>
      </c>
      <c r="N401" s="14">
        <f t="shared" si="134"/>
        <v>20256</v>
      </c>
      <c r="O401" s="14">
        <f t="shared" si="134"/>
        <v>20119</v>
      </c>
      <c r="P401" s="14"/>
    </row>
    <row r="402" spans="1:18">
      <c r="A402" s="27" t="s">
        <v>549</v>
      </c>
      <c r="B402" s="18"/>
      <c r="C402" s="17">
        <v>4500</v>
      </c>
      <c r="D402" s="17">
        <v>0</v>
      </c>
      <c r="E402" s="17">
        <v>0</v>
      </c>
      <c r="F402" s="17">
        <v>0</v>
      </c>
      <c r="G402" s="17">
        <v>0</v>
      </c>
      <c r="H402" s="17">
        <v>0</v>
      </c>
      <c r="I402" s="17">
        <v>0</v>
      </c>
      <c r="J402" s="17">
        <v>-155</v>
      </c>
      <c r="K402" s="17">
        <v>-135</v>
      </c>
      <c r="L402" s="17">
        <v>-200</v>
      </c>
      <c r="M402" s="17">
        <v>-227</v>
      </c>
      <c r="N402" s="17">
        <v>-137</v>
      </c>
      <c r="O402" s="17">
        <v>-138</v>
      </c>
      <c r="P402" s="14">
        <f t="shared" ref="P402:P413" si="135">SUM(D402:O402)</f>
        <v>-992</v>
      </c>
      <c r="Q402" s="17">
        <f t="shared" ref="Q402:Q414" si="136">SUM(D402:J402)</f>
        <v>-155</v>
      </c>
      <c r="R402" s="14">
        <f t="shared" ref="R402:R413" si="137">P402-Q402</f>
        <v>-837</v>
      </c>
    </row>
    <row r="403" spans="1:18">
      <c r="A403" s="27" t="s">
        <v>510</v>
      </c>
      <c r="B403" s="18" t="s">
        <v>26</v>
      </c>
      <c r="C403" s="17">
        <v>0</v>
      </c>
      <c r="D403" s="14">
        <f>[1]Source!D44</f>
        <v>0</v>
      </c>
      <c r="E403" s="14">
        <f>[1]Source!E44</f>
        <v>0</v>
      </c>
      <c r="F403" s="14">
        <f>[1]Source!F44</f>
        <v>0</v>
      </c>
      <c r="G403" s="14">
        <f>[1]Source!G44</f>
        <v>0</v>
      </c>
      <c r="H403" s="14">
        <f>[1]Source!H44</f>
        <v>0</v>
      </c>
      <c r="I403" s="14">
        <f>[1]Source!I44</f>
        <v>0</v>
      </c>
      <c r="J403" s="14">
        <f>[1]Source!J44</f>
        <v>0</v>
      </c>
      <c r="K403" s="14">
        <f>[1]Source!K44</f>
        <v>0</v>
      </c>
      <c r="L403" s="14">
        <f>[1]Source!L44</f>
        <v>0</v>
      </c>
      <c r="M403" s="14">
        <f>[1]Source!M44</f>
        <v>0</v>
      </c>
      <c r="N403" s="14">
        <f>[1]Source!N44</f>
        <v>0</v>
      </c>
      <c r="O403" s="14">
        <f>[1]Source!O44</f>
        <v>0</v>
      </c>
      <c r="P403" s="14">
        <f t="shared" si="135"/>
        <v>0</v>
      </c>
      <c r="Q403" s="17">
        <f t="shared" si="136"/>
        <v>0</v>
      </c>
      <c r="R403" s="14">
        <f t="shared" si="137"/>
        <v>0</v>
      </c>
    </row>
    <row r="404" spans="1:18">
      <c r="A404" s="27" t="s">
        <v>142</v>
      </c>
      <c r="C404" s="17">
        <v>1712</v>
      </c>
      <c r="D404" s="17">
        <v>517</v>
      </c>
      <c r="E404" s="17">
        <v>815</v>
      </c>
      <c r="F404" s="17">
        <v>369</v>
      </c>
      <c r="G404" s="17">
        <v>-176</v>
      </c>
      <c r="H404" s="17">
        <v>100</v>
      </c>
      <c r="I404" s="17">
        <v>-393</v>
      </c>
      <c r="J404" s="17">
        <v>-247</v>
      </c>
      <c r="K404" s="17">
        <v>0</v>
      </c>
      <c r="L404" s="17">
        <v>0</v>
      </c>
      <c r="M404" s="17">
        <v>0</v>
      </c>
      <c r="N404" s="17">
        <v>0</v>
      </c>
      <c r="O404" s="17">
        <v>0</v>
      </c>
      <c r="P404" s="14">
        <f t="shared" si="135"/>
        <v>985</v>
      </c>
      <c r="Q404" s="17">
        <f t="shared" si="136"/>
        <v>985</v>
      </c>
      <c r="R404" s="14">
        <f t="shared" si="137"/>
        <v>0</v>
      </c>
    </row>
    <row r="405" spans="1:18">
      <c r="A405" s="27" t="s">
        <v>550</v>
      </c>
      <c r="B405" s="18"/>
      <c r="C405" s="17">
        <v>200</v>
      </c>
      <c r="D405" s="17">
        <v>0</v>
      </c>
      <c r="E405" s="17">
        <v>0</v>
      </c>
      <c r="F405" s="17">
        <v>0</v>
      </c>
      <c r="G405" s="17">
        <v>0</v>
      </c>
      <c r="H405" s="17">
        <v>0</v>
      </c>
      <c r="I405" s="17">
        <v>0</v>
      </c>
      <c r="J405" s="17">
        <v>0</v>
      </c>
      <c r="K405" s="17">
        <v>0</v>
      </c>
      <c r="L405" s="17">
        <v>0</v>
      </c>
      <c r="M405" s="17">
        <v>0</v>
      </c>
      <c r="N405" s="17">
        <v>0</v>
      </c>
      <c r="O405" s="17">
        <v>0</v>
      </c>
      <c r="P405" s="14">
        <f t="shared" si="135"/>
        <v>0</v>
      </c>
      <c r="Q405" s="17">
        <f t="shared" si="136"/>
        <v>0</v>
      </c>
      <c r="R405" s="14">
        <f t="shared" si="137"/>
        <v>0</v>
      </c>
    </row>
    <row r="406" spans="1:18">
      <c r="A406" s="27" t="s">
        <v>616</v>
      </c>
      <c r="C406" s="17">
        <v>147</v>
      </c>
      <c r="D406" s="17">
        <v>7</v>
      </c>
      <c r="E406" s="17">
        <v>0</v>
      </c>
      <c r="F406" s="17">
        <v>-20</v>
      </c>
      <c r="G406" s="175">
        <f>43+14</f>
        <v>57</v>
      </c>
      <c r="H406" s="175">
        <f>141+5</f>
        <v>146</v>
      </c>
      <c r="I406" s="17">
        <v>-90</v>
      </c>
      <c r="J406" s="175">
        <f>-78+10</f>
        <v>-68</v>
      </c>
      <c r="K406" s="17">
        <v>0</v>
      </c>
      <c r="L406" s="17">
        <v>0</v>
      </c>
      <c r="M406" s="17">
        <v>0</v>
      </c>
      <c r="N406" s="17">
        <v>0</v>
      </c>
      <c r="O406" s="17">
        <v>0</v>
      </c>
      <c r="P406" s="14">
        <f t="shared" si="135"/>
        <v>32</v>
      </c>
      <c r="Q406" s="17">
        <f t="shared" si="136"/>
        <v>32</v>
      </c>
      <c r="R406" s="14">
        <f t="shared" si="137"/>
        <v>0</v>
      </c>
    </row>
    <row r="407" spans="1:18">
      <c r="A407" s="27" t="s">
        <v>538</v>
      </c>
      <c r="B407" s="18"/>
      <c r="C407" s="17">
        <v>1000</v>
      </c>
      <c r="D407" s="17">
        <v>0</v>
      </c>
      <c r="E407" s="17">
        <v>0</v>
      </c>
      <c r="F407" s="17">
        <v>0</v>
      </c>
      <c r="G407" s="17">
        <v>0</v>
      </c>
      <c r="H407" s="17">
        <v>0</v>
      </c>
      <c r="I407" s="17">
        <v>0</v>
      </c>
      <c r="J407" s="17">
        <v>0</v>
      </c>
      <c r="K407" s="17">
        <v>0</v>
      </c>
      <c r="L407" s="17">
        <v>0</v>
      </c>
      <c r="M407" s="17">
        <v>0</v>
      </c>
      <c r="N407" s="17">
        <v>0</v>
      </c>
      <c r="O407" s="17">
        <v>0</v>
      </c>
      <c r="P407" s="14">
        <f t="shared" si="135"/>
        <v>0</v>
      </c>
      <c r="Q407" s="17">
        <f t="shared" si="136"/>
        <v>0</v>
      </c>
      <c r="R407" s="14">
        <f t="shared" si="137"/>
        <v>0</v>
      </c>
    </row>
    <row r="408" spans="1:18">
      <c r="A408" s="27" t="s">
        <v>605</v>
      </c>
      <c r="B408" s="18"/>
      <c r="C408" s="17">
        <v>0</v>
      </c>
      <c r="D408" s="175">
        <f>-2811+291</f>
        <v>-2520</v>
      </c>
      <c r="E408" s="175">
        <f>2808+139</f>
        <v>2947</v>
      </c>
      <c r="F408" s="175">
        <f>144-16-4</f>
        <v>124</v>
      </c>
      <c r="G408" s="175">
        <f>86+8</f>
        <v>94</v>
      </c>
      <c r="H408" s="175">
        <f>65-1</f>
        <v>64</v>
      </c>
      <c r="I408" s="175">
        <f>295+29-1</f>
        <v>323</v>
      </c>
      <c r="J408" s="17">
        <f>-1+247</f>
        <v>246</v>
      </c>
      <c r="K408" s="17">
        <v>0</v>
      </c>
      <c r="L408" s="17">
        <v>0</v>
      </c>
      <c r="M408" s="17">
        <v>0</v>
      </c>
      <c r="N408" s="17">
        <v>0</v>
      </c>
      <c r="O408" s="17">
        <v>0</v>
      </c>
      <c r="P408" s="14">
        <f>SUM(D408:O408)</f>
        <v>1278</v>
      </c>
      <c r="Q408" s="17">
        <f t="shared" si="136"/>
        <v>1278</v>
      </c>
      <c r="R408" s="14">
        <f>P408-Q408</f>
        <v>0</v>
      </c>
    </row>
    <row r="409" spans="1:18">
      <c r="A409" s="27" t="s">
        <v>143</v>
      </c>
      <c r="C409" s="17">
        <v>9219</v>
      </c>
      <c r="D409" s="178">
        <f>-[1]Source!D69-[1]Source!D58-103</f>
        <v>0</v>
      </c>
      <c r="E409" s="141">
        <f>-[1]Source!E69-[1]Source!E58</f>
        <v>0</v>
      </c>
      <c r="F409" s="141">
        <f>-[1]Source!F69-[1]Source!F58</f>
        <v>0</v>
      </c>
      <c r="G409" s="141">
        <f>-[1]Source!G69-[1]Source!G58</f>
        <v>0</v>
      </c>
      <c r="H409" s="141">
        <f>-[1]Source!H69-[1]Source!H58</f>
        <v>0</v>
      </c>
      <c r="I409" s="141">
        <f>-[1]Source!I69-[1]Source!I58</f>
        <v>0</v>
      </c>
      <c r="J409" s="141">
        <f>-[1]Source!J69-[1]Source!J58</f>
        <v>0</v>
      </c>
      <c r="K409" s="141">
        <f>-[1]Source!K69-[1]Source!K58</f>
        <v>0</v>
      </c>
      <c r="L409" s="141">
        <f>-[1]Source!L69-[1]Source!L58</f>
        <v>0</v>
      </c>
      <c r="M409" s="226">
        <f>-[1]Source!M69-[1]Source!M58+9675+346+M81+M82</f>
        <v>802</v>
      </c>
      <c r="N409" s="141">
        <f>-[1]Source!N69-[1]Source!N58</f>
        <v>0</v>
      </c>
      <c r="O409" s="186">
        <f>-[1]Source!O69-[1]Source!O58-9675-346</f>
        <v>-10021</v>
      </c>
      <c r="P409" s="14">
        <f>SUM(D409:O409)</f>
        <v>-9219</v>
      </c>
      <c r="Q409" s="17">
        <f t="shared" si="136"/>
        <v>0</v>
      </c>
      <c r="R409" s="14">
        <f>P409-Q409</f>
        <v>-9219</v>
      </c>
    </row>
    <row r="410" spans="1:18">
      <c r="A410" s="27" t="s">
        <v>144</v>
      </c>
      <c r="C410" s="17">
        <v>898</v>
      </c>
      <c r="D410" s="17">
        <v>0</v>
      </c>
      <c r="E410" s="17">
        <v>0</v>
      </c>
      <c r="F410" s="17">
        <v>0</v>
      </c>
      <c r="G410" s="17">
        <v>0</v>
      </c>
      <c r="H410" s="17">
        <v>0</v>
      </c>
      <c r="I410" s="17">
        <v>0</v>
      </c>
      <c r="J410" s="17">
        <v>0</v>
      </c>
      <c r="K410" s="17">
        <v>0</v>
      </c>
      <c r="L410" s="17">
        <v>0</v>
      </c>
      <c r="M410" s="17">
        <v>0</v>
      </c>
      <c r="N410" s="17">
        <v>0</v>
      </c>
      <c r="O410" s="17">
        <v>0</v>
      </c>
      <c r="P410" s="14">
        <f t="shared" si="135"/>
        <v>0</v>
      </c>
      <c r="Q410" s="17">
        <f t="shared" si="136"/>
        <v>0</v>
      </c>
      <c r="R410" s="14">
        <f t="shared" si="137"/>
        <v>0</v>
      </c>
    </row>
    <row r="411" spans="1:18">
      <c r="A411" s="27" t="s">
        <v>494</v>
      </c>
      <c r="C411" s="17">
        <v>118</v>
      </c>
      <c r="D411" s="17">
        <v>12</v>
      </c>
      <c r="E411" s="17">
        <v>0</v>
      </c>
      <c r="F411" s="17">
        <v>16</v>
      </c>
      <c r="G411" s="17">
        <v>11</v>
      </c>
      <c r="H411" s="17">
        <v>11</v>
      </c>
      <c r="I411" s="17">
        <v>-26</v>
      </c>
      <c r="J411" s="17">
        <v>11</v>
      </c>
      <c r="K411" s="17">
        <v>0</v>
      </c>
      <c r="L411" s="17">
        <v>0</v>
      </c>
      <c r="M411" s="17">
        <v>0</v>
      </c>
      <c r="N411" s="17">
        <v>0</v>
      </c>
      <c r="O411" s="17">
        <v>0</v>
      </c>
      <c r="P411" s="14">
        <f>SUM(D411:O411)</f>
        <v>35</v>
      </c>
      <c r="Q411" s="17">
        <f t="shared" si="136"/>
        <v>35</v>
      </c>
      <c r="R411" s="14">
        <f>P411-Q411</f>
        <v>0</v>
      </c>
    </row>
    <row r="412" spans="1:18">
      <c r="A412" s="27" t="s">
        <v>521</v>
      </c>
      <c r="C412" s="17">
        <v>47</v>
      </c>
      <c r="D412" s="17">
        <v>0</v>
      </c>
      <c r="E412" s="17">
        <v>0</v>
      </c>
      <c r="F412" s="17">
        <v>0</v>
      </c>
      <c r="G412" s="17">
        <v>0</v>
      </c>
      <c r="H412" s="17">
        <v>0</v>
      </c>
      <c r="I412" s="17">
        <v>0</v>
      </c>
      <c r="J412" s="17">
        <v>0</v>
      </c>
      <c r="K412" s="17">
        <v>0</v>
      </c>
      <c r="L412" s="17">
        <v>0</v>
      </c>
      <c r="M412" s="17">
        <v>0</v>
      </c>
      <c r="N412" s="17">
        <v>0</v>
      </c>
      <c r="O412" s="17">
        <v>0</v>
      </c>
      <c r="P412" s="14">
        <f t="shared" si="135"/>
        <v>0</v>
      </c>
      <c r="Q412" s="17">
        <f t="shared" si="136"/>
        <v>0</v>
      </c>
      <c r="R412" s="14">
        <f t="shared" si="137"/>
        <v>0</v>
      </c>
    </row>
    <row r="413" spans="1:18">
      <c r="A413" s="15" t="s">
        <v>531</v>
      </c>
      <c r="C413" s="17">
        <v>0</v>
      </c>
      <c r="D413" s="17">
        <v>0</v>
      </c>
      <c r="E413" s="17">
        <v>0</v>
      </c>
      <c r="F413" s="17">
        <v>0</v>
      </c>
      <c r="G413" s="17">
        <v>0</v>
      </c>
      <c r="H413" s="17">
        <v>0</v>
      </c>
      <c r="I413" s="17">
        <v>0</v>
      </c>
      <c r="J413" s="17">
        <v>0</v>
      </c>
      <c r="K413" s="17">
        <v>0</v>
      </c>
      <c r="L413" s="17">
        <v>0</v>
      </c>
      <c r="M413" s="17">
        <v>0</v>
      </c>
      <c r="N413" s="17">
        <v>0</v>
      </c>
      <c r="O413" s="17">
        <v>0</v>
      </c>
      <c r="P413" s="14">
        <f t="shared" si="135"/>
        <v>0</v>
      </c>
      <c r="Q413" s="17">
        <f t="shared" si="136"/>
        <v>0</v>
      </c>
      <c r="R413" s="14">
        <f t="shared" si="137"/>
        <v>0</v>
      </c>
    </row>
    <row r="414" spans="1:18">
      <c r="A414" s="27" t="s">
        <v>115</v>
      </c>
      <c r="C414" s="25">
        <v>0</v>
      </c>
      <c r="D414" s="25">
        <v>0</v>
      </c>
      <c r="E414" s="25">
        <v>1</v>
      </c>
      <c r="F414" s="25">
        <v>-1</v>
      </c>
      <c r="G414" s="25">
        <v>0</v>
      </c>
      <c r="H414" s="25">
        <v>0</v>
      </c>
      <c r="I414" s="25">
        <v>0</v>
      </c>
      <c r="J414" s="25">
        <v>0</v>
      </c>
      <c r="K414" s="25">
        <v>0</v>
      </c>
      <c r="L414" s="25">
        <v>0</v>
      </c>
      <c r="M414" s="25">
        <v>0</v>
      </c>
      <c r="N414" s="25">
        <v>0</v>
      </c>
      <c r="O414" s="25">
        <v>0</v>
      </c>
      <c r="P414" s="16">
        <f>SUM(D414:O414)</f>
        <v>0</v>
      </c>
      <c r="Q414" s="25">
        <f t="shared" si="136"/>
        <v>0</v>
      </c>
      <c r="R414" s="16">
        <f>P414-Q414</f>
        <v>0</v>
      </c>
    </row>
    <row r="415" spans="1:18" ht="3.95" customHeight="1"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1:18">
      <c r="A416" s="26" t="s">
        <v>145</v>
      </c>
      <c r="C416" s="14">
        <f>SUM(C402:C415)</f>
        <v>17841</v>
      </c>
      <c r="D416" s="14">
        <f t="shared" ref="D416:O416" si="138">SUM(D401:D415)</f>
        <v>15857</v>
      </c>
      <c r="E416" s="14">
        <f t="shared" si="138"/>
        <v>19620</v>
      </c>
      <c r="F416" s="14">
        <f t="shared" si="138"/>
        <v>20108</v>
      </c>
      <c r="G416" s="14">
        <f t="shared" si="138"/>
        <v>20094</v>
      </c>
      <c r="H416" s="14">
        <f t="shared" si="138"/>
        <v>20415</v>
      </c>
      <c r="I416" s="14">
        <f t="shared" si="138"/>
        <v>20229</v>
      </c>
      <c r="J416" s="14">
        <f t="shared" si="138"/>
        <v>20016</v>
      </c>
      <c r="K416" s="14">
        <f t="shared" si="138"/>
        <v>19881</v>
      </c>
      <c r="L416" s="14">
        <f t="shared" si="138"/>
        <v>19681</v>
      </c>
      <c r="M416" s="14">
        <f t="shared" si="138"/>
        <v>20256</v>
      </c>
      <c r="N416" s="14">
        <f t="shared" si="138"/>
        <v>20119</v>
      </c>
      <c r="O416" s="14">
        <f t="shared" si="138"/>
        <v>9960</v>
      </c>
      <c r="P416" s="14"/>
    </row>
    <row r="417" spans="1:18" ht="3.95" customHeight="1"/>
    <row r="418" spans="1:18">
      <c r="A418" s="27" t="s">
        <v>23</v>
      </c>
      <c r="C418" s="14"/>
      <c r="D418" s="14">
        <f t="shared" ref="D418:O418" si="139">D416-C416</f>
        <v>-1984</v>
      </c>
      <c r="E418" s="14">
        <f t="shared" si="139"/>
        <v>3763</v>
      </c>
      <c r="F418" s="14">
        <f t="shared" si="139"/>
        <v>488</v>
      </c>
      <c r="G418" s="14">
        <f t="shared" si="139"/>
        <v>-14</v>
      </c>
      <c r="H418" s="14">
        <f t="shared" si="139"/>
        <v>321</v>
      </c>
      <c r="I418" s="14">
        <f t="shared" si="139"/>
        <v>-186</v>
      </c>
      <c r="J418" s="14">
        <f t="shared" si="139"/>
        <v>-213</v>
      </c>
      <c r="K418" s="14">
        <f t="shared" si="139"/>
        <v>-135</v>
      </c>
      <c r="L418" s="14">
        <f t="shared" si="139"/>
        <v>-200</v>
      </c>
      <c r="M418" s="14">
        <f t="shared" si="139"/>
        <v>575</v>
      </c>
      <c r="N418" s="14">
        <f t="shared" si="139"/>
        <v>-137</v>
      </c>
      <c r="O418" s="14">
        <f t="shared" si="139"/>
        <v>-10159</v>
      </c>
      <c r="P418" s="14">
        <f>SUM(D418:O418)</f>
        <v>-7881</v>
      </c>
      <c r="Q418" s="14">
        <f>SUM(Q402:Q415)</f>
        <v>2175</v>
      </c>
      <c r="R418" s="14">
        <f>P418-Q418</f>
        <v>-10056</v>
      </c>
    </row>
    <row r="420" spans="1:18">
      <c r="A420" s="26" t="s">
        <v>563</v>
      </c>
      <c r="D420" s="14">
        <f t="shared" ref="D420:O420" si="140">C427</f>
        <v>12256</v>
      </c>
      <c r="E420" s="14">
        <f t="shared" si="140"/>
        <v>19361</v>
      </c>
      <c r="F420" s="14">
        <f t="shared" si="140"/>
        <v>10590</v>
      </c>
      <c r="G420" s="14">
        <f t="shared" si="140"/>
        <v>9548</v>
      </c>
      <c r="H420" s="14">
        <f t="shared" si="140"/>
        <v>8526</v>
      </c>
      <c r="I420" s="14">
        <f t="shared" si="140"/>
        <v>4870</v>
      </c>
      <c r="J420" s="14">
        <f t="shared" si="140"/>
        <v>5420</v>
      </c>
      <c r="K420" s="14">
        <f t="shared" si="140"/>
        <v>2887</v>
      </c>
      <c r="L420" s="14">
        <f t="shared" si="140"/>
        <v>2815</v>
      </c>
      <c r="M420" s="14">
        <f t="shared" si="140"/>
        <v>2816</v>
      </c>
      <c r="N420" s="14">
        <f t="shared" si="140"/>
        <v>2817</v>
      </c>
      <c r="O420" s="14">
        <f t="shared" si="140"/>
        <v>3407</v>
      </c>
    </row>
    <row r="421" spans="1:18">
      <c r="A421" s="27" t="s">
        <v>564</v>
      </c>
      <c r="C421" s="17">
        <v>1642</v>
      </c>
      <c r="D421" s="17">
        <v>8301</v>
      </c>
      <c r="E421" s="17">
        <v>-7171</v>
      </c>
      <c r="F421" s="17">
        <v>-13</v>
      </c>
      <c r="G421" s="17">
        <v>0</v>
      </c>
      <c r="H421" s="17">
        <v>13</v>
      </c>
      <c r="I421" s="17">
        <v>0</v>
      </c>
      <c r="J421" s="17">
        <v>0</v>
      </c>
      <c r="K421" s="17">
        <v>0</v>
      </c>
      <c r="L421" s="17">
        <v>0</v>
      </c>
      <c r="M421" s="17">
        <v>0</v>
      </c>
      <c r="N421" s="17">
        <v>0</v>
      </c>
      <c r="O421" s="17">
        <v>0</v>
      </c>
      <c r="P421" s="14">
        <f>SUM(D421:O421)</f>
        <v>1130</v>
      </c>
      <c r="Q421" s="17">
        <f>SUM(D421:J421)</f>
        <v>1130</v>
      </c>
      <c r="R421" s="14">
        <f>P421-Q421</f>
        <v>0</v>
      </c>
    </row>
    <row r="422" spans="1:18">
      <c r="A422" s="27" t="s">
        <v>565</v>
      </c>
      <c r="B422" s="18" t="s">
        <v>26</v>
      </c>
      <c r="C422" s="17">
        <v>1099</v>
      </c>
      <c r="D422" s="14">
        <f>-[1]Source!D22+[1]Source!D65</f>
        <v>730</v>
      </c>
      <c r="E422" s="14">
        <f>-[1]Source!E22+[1]Source!E65</f>
        <v>534</v>
      </c>
      <c r="F422" s="187">
        <f>-[1]Source!F22+[1]Source!F65-1</f>
        <v>543</v>
      </c>
      <c r="G422" s="187">
        <f>-[1]Source!G22+[1]Source!G65-10</f>
        <v>52</v>
      </c>
      <c r="H422" s="178">
        <f>-[1]Source!H22+[1]Source!H65+12+1</f>
        <v>-2841</v>
      </c>
      <c r="I422" s="14">
        <f>-[1]Source!I22+[1]Source!I65</f>
        <v>-5</v>
      </c>
      <c r="J422" s="14">
        <f>-[1]Source!J22+[1]Source!J65</f>
        <v>1</v>
      </c>
      <c r="K422" s="14">
        <f>-[1]Source!K22+[1]Source!K65</f>
        <v>0</v>
      </c>
      <c r="L422" s="14">
        <f>-[1]Source!L22+[1]Source!L65</f>
        <v>1</v>
      </c>
      <c r="M422" s="14">
        <f>-[1]Source!M22+[1]Source!M65</f>
        <v>1</v>
      </c>
      <c r="N422" s="14">
        <f>-[1]Source!N22+[1]Source!N65</f>
        <v>590</v>
      </c>
      <c r="O422" s="14">
        <f>-[1]Source!O22+[1]Source!O65</f>
        <v>594</v>
      </c>
      <c r="P422" s="14">
        <f>SUM(D422:O422)</f>
        <v>200</v>
      </c>
      <c r="Q422" s="17">
        <f>SUM(D422:J422)</f>
        <v>-986</v>
      </c>
      <c r="R422" s="14">
        <f>P422-Q422</f>
        <v>1186</v>
      </c>
    </row>
    <row r="423" spans="1:18">
      <c r="A423" s="27" t="s">
        <v>566</v>
      </c>
      <c r="B423" s="18" t="s">
        <v>26</v>
      </c>
      <c r="C423" s="17">
        <v>9515</v>
      </c>
      <c r="D423" s="14">
        <f>-[1]Source!D42</f>
        <v>-1926</v>
      </c>
      <c r="E423" s="187">
        <f>-[1]Source!E42+2</f>
        <v>-2135</v>
      </c>
      <c r="F423" s="187">
        <f>-[1]Source!F42-2</f>
        <v>-1572</v>
      </c>
      <c r="G423" s="14">
        <f>-[1]Source!G42</f>
        <v>-1074</v>
      </c>
      <c r="H423" s="14">
        <f>-[1]Source!H42</f>
        <v>-828</v>
      </c>
      <c r="I423" s="14">
        <f>-[1]Source!I42</f>
        <v>555</v>
      </c>
      <c r="J423" s="227">
        <f>-[1]Source!J42+1025</f>
        <v>-2534</v>
      </c>
      <c r="K423" s="14">
        <f>-[1]Source!K42</f>
        <v>-72</v>
      </c>
      <c r="L423" s="14">
        <f>-[1]Source!L42</f>
        <v>0</v>
      </c>
      <c r="M423" s="14">
        <f>-[1]Source!M42</f>
        <v>0</v>
      </c>
      <c r="N423" s="14">
        <f>-[1]Source!N42</f>
        <v>0</v>
      </c>
      <c r="O423" s="14">
        <f>-[1]Source!O42</f>
        <v>0</v>
      </c>
      <c r="P423" s="14">
        <f>SUM(D423:O423)</f>
        <v>-9586</v>
      </c>
      <c r="Q423" s="17">
        <f>SUM(D423:J423)</f>
        <v>-9514</v>
      </c>
      <c r="R423" s="14">
        <f>P423-Q423</f>
        <v>-72</v>
      </c>
    </row>
    <row r="424" spans="1:18">
      <c r="A424" s="15" t="s">
        <v>32</v>
      </c>
      <c r="B424" s="18"/>
      <c r="C424" s="17">
        <v>0</v>
      </c>
      <c r="D424" s="17">
        <v>0</v>
      </c>
      <c r="E424" s="17">
        <v>0</v>
      </c>
      <c r="F424" s="17">
        <v>0</v>
      </c>
      <c r="G424" s="17">
        <v>0</v>
      </c>
      <c r="H424" s="17">
        <v>0</v>
      </c>
      <c r="I424" s="17">
        <v>0</v>
      </c>
      <c r="J424" s="17">
        <v>0</v>
      </c>
      <c r="K424" s="17">
        <v>0</v>
      </c>
      <c r="L424" s="17">
        <v>0</v>
      </c>
      <c r="M424" s="17">
        <v>0</v>
      </c>
      <c r="N424" s="17">
        <v>0</v>
      </c>
      <c r="O424" s="17">
        <v>0</v>
      </c>
      <c r="P424" s="14">
        <f>SUM(D424:O424)</f>
        <v>0</v>
      </c>
      <c r="Q424" s="17">
        <f>SUM(D424:J424)</f>
        <v>0</v>
      </c>
      <c r="R424" s="14">
        <f>P424-Q424</f>
        <v>0</v>
      </c>
    </row>
    <row r="425" spans="1:18">
      <c r="A425" s="27" t="s">
        <v>115</v>
      </c>
      <c r="C425" s="25">
        <v>0</v>
      </c>
      <c r="D425" s="25">
        <v>0</v>
      </c>
      <c r="E425" s="25">
        <v>1</v>
      </c>
      <c r="F425" s="25">
        <v>0</v>
      </c>
      <c r="G425" s="25">
        <v>0</v>
      </c>
      <c r="H425" s="25">
        <v>0</v>
      </c>
      <c r="I425" s="25">
        <v>0</v>
      </c>
      <c r="J425" s="25">
        <v>0</v>
      </c>
      <c r="K425" s="25">
        <v>0</v>
      </c>
      <c r="L425" s="25">
        <v>0</v>
      </c>
      <c r="M425" s="25">
        <v>0</v>
      </c>
      <c r="N425" s="25">
        <v>0</v>
      </c>
      <c r="O425" s="25">
        <v>0</v>
      </c>
      <c r="P425" s="16">
        <f>SUM(D425:O425)</f>
        <v>1</v>
      </c>
      <c r="Q425" s="25">
        <f>SUM(D425:J425)</f>
        <v>1</v>
      </c>
      <c r="R425" s="16">
        <f>P425-Q425</f>
        <v>0</v>
      </c>
    </row>
    <row r="426" spans="1:18" ht="3.95" customHeight="1"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7"/>
      <c r="R426" s="14"/>
    </row>
    <row r="427" spans="1:18">
      <c r="A427" s="26" t="s">
        <v>562</v>
      </c>
      <c r="C427" s="14">
        <f t="shared" ref="C427:O427" si="141">SUM(C420:C426)</f>
        <v>12256</v>
      </c>
      <c r="D427" s="14">
        <f t="shared" si="141"/>
        <v>19361</v>
      </c>
      <c r="E427" s="14">
        <f t="shared" si="141"/>
        <v>10590</v>
      </c>
      <c r="F427" s="14">
        <f t="shared" si="141"/>
        <v>9548</v>
      </c>
      <c r="G427" s="14">
        <f t="shared" si="141"/>
        <v>8526</v>
      </c>
      <c r="H427" s="14">
        <f t="shared" si="141"/>
        <v>4870</v>
      </c>
      <c r="I427" s="14">
        <f t="shared" si="141"/>
        <v>5420</v>
      </c>
      <c r="J427" s="14">
        <f t="shared" si="141"/>
        <v>2887</v>
      </c>
      <c r="K427" s="14">
        <f t="shared" si="141"/>
        <v>2815</v>
      </c>
      <c r="L427" s="14">
        <f t="shared" si="141"/>
        <v>2816</v>
      </c>
      <c r="M427" s="14">
        <f t="shared" si="141"/>
        <v>2817</v>
      </c>
      <c r="N427" s="14">
        <f t="shared" si="141"/>
        <v>3407</v>
      </c>
      <c r="O427" s="14">
        <f t="shared" si="141"/>
        <v>4001</v>
      </c>
      <c r="P427" s="14"/>
    </row>
    <row r="428" spans="1:18" ht="3.95" customHeight="1"/>
    <row r="429" spans="1:18">
      <c r="A429" s="27" t="s">
        <v>23</v>
      </c>
      <c r="C429" s="14"/>
      <c r="D429" s="14">
        <f t="shared" ref="D429:O429" si="142">D427-C427</f>
        <v>7105</v>
      </c>
      <c r="E429" s="14">
        <f t="shared" si="142"/>
        <v>-8771</v>
      </c>
      <c r="F429" s="14">
        <f t="shared" si="142"/>
        <v>-1042</v>
      </c>
      <c r="G429" s="14">
        <f t="shared" si="142"/>
        <v>-1022</v>
      </c>
      <c r="H429" s="14">
        <f t="shared" si="142"/>
        <v>-3656</v>
      </c>
      <c r="I429" s="14">
        <f t="shared" si="142"/>
        <v>550</v>
      </c>
      <c r="J429" s="14">
        <f t="shared" si="142"/>
        <v>-2533</v>
      </c>
      <c r="K429" s="14">
        <f t="shared" si="142"/>
        <v>-72</v>
      </c>
      <c r="L429" s="14">
        <f t="shared" si="142"/>
        <v>1</v>
      </c>
      <c r="M429" s="14">
        <f t="shared" si="142"/>
        <v>1</v>
      </c>
      <c r="N429" s="14">
        <f t="shared" si="142"/>
        <v>590</v>
      </c>
      <c r="O429" s="14">
        <f t="shared" si="142"/>
        <v>594</v>
      </c>
      <c r="P429" s="14">
        <f>SUM(D429:O429)</f>
        <v>-8255</v>
      </c>
      <c r="Q429" s="14">
        <f>SUM(Q425:Q426)</f>
        <v>1</v>
      </c>
      <c r="R429" s="14">
        <f>P429-Q429</f>
        <v>-8256</v>
      </c>
    </row>
    <row r="431" spans="1:18">
      <c r="A431" s="26" t="s">
        <v>568</v>
      </c>
      <c r="D431" s="14">
        <f t="shared" ref="D431:O431" si="143">C436</f>
        <v>0</v>
      </c>
      <c r="E431" s="14">
        <f t="shared" si="143"/>
        <v>0</v>
      </c>
      <c r="F431" s="14">
        <f t="shared" si="143"/>
        <v>0</v>
      </c>
      <c r="G431" s="14">
        <f t="shared" si="143"/>
        <v>0</v>
      </c>
      <c r="H431" s="14">
        <f t="shared" si="143"/>
        <v>0</v>
      </c>
      <c r="I431" s="14">
        <f t="shared" si="143"/>
        <v>0</v>
      </c>
      <c r="J431" s="14">
        <f t="shared" si="143"/>
        <v>0</v>
      </c>
      <c r="K431" s="14">
        <f t="shared" si="143"/>
        <v>0</v>
      </c>
      <c r="L431" s="14">
        <f t="shared" si="143"/>
        <v>0</v>
      </c>
      <c r="M431" s="14">
        <f t="shared" si="143"/>
        <v>0</v>
      </c>
      <c r="N431" s="14">
        <f t="shared" si="143"/>
        <v>0</v>
      </c>
      <c r="O431" s="14">
        <f t="shared" si="143"/>
        <v>0</v>
      </c>
    </row>
    <row r="432" spans="1:18">
      <c r="A432" s="15" t="s">
        <v>32</v>
      </c>
      <c r="D432" s="17">
        <v>0</v>
      </c>
      <c r="E432" s="17">
        <v>0</v>
      </c>
      <c r="F432" s="17">
        <v>0</v>
      </c>
      <c r="G432" s="17">
        <v>0</v>
      </c>
      <c r="H432" s="17">
        <v>0</v>
      </c>
      <c r="I432" s="17">
        <v>0</v>
      </c>
      <c r="J432" s="17">
        <v>0</v>
      </c>
      <c r="K432" s="17">
        <v>0</v>
      </c>
      <c r="L432" s="17">
        <v>0</v>
      </c>
      <c r="M432" s="17">
        <v>0</v>
      </c>
      <c r="N432" s="17">
        <v>0</v>
      </c>
      <c r="O432" s="17">
        <v>0</v>
      </c>
      <c r="P432" s="14">
        <f>SUM(D432:O432)</f>
        <v>0</v>
      </c>
      <c r="Q432" s="17">
        <f>SUM(D432:J432)</f>
        <v>0</v>
      </c>
      <c r="R432" s="14">
        <f>P432-Q432</f>
        <v>0</v>
      </c>
    </row>
    <row r="433" spans="1:18">
      <c r="A433" s="15" t="s">
        <v>32</v>
      </c>
      <c r="D433" s="17">
        <v>0</v>
      </c>
      <c r="E433" s="17">
        <v>0</v>
      </c>
      <c r="F433" s="17">
        <v>0</v>
      </c>
      <c r="G433" s="17">
        <v>0</v>
      </c>
      <c r="H433" s="17">
        <v>0</v>
      </c>
      <c r="I433" s="17">
        <v>0</v>
      </c>
      <c r="J433" s="17">
        <v>0</v>
      </c>
      <c r="K433" s="17">
        <v>0</v>
      </c>
      <c r="L433" s="17">
        <v>0</v>
      </c>
      <c r="M433" s="17">
        <v>0</v>
      </c>
      <c r="N433" s="17">
        <v>0</v>
      </c>
      <c r="O433" s="17">
        <v>0</v>
      </c>
      <c r="P433" s="14">
        <f>SUM(D433:O433)</f>
        <v>0</v>
      </c>
      <c r="Q433" s="17">
        <f>SUM(D433:J433)</f>
        <v>0</v>
      </c>
      <c r="R433" s="14">
        <f>P433-Q433</f>
        <v>0</v>
      </c>
    </row>
    <row r="434" spans="1:18">
      <c r="A434" s="27" t="s">
        <v>115</v>
      </c>
      <c r="C434" s="25">
        <v>0</v>
      </c>
      <c r="D434" s="25">
        <v>0</v>
      </c>
      <c r="E434" s="25">
        <v>0</v>
      </c>
      <c r="F434" s="25">
        <v>0</v>
      </c>
      <c r="G434" s="25">
        <v>0</v>
      </c>
      <c r="H434" s="25">
        <v>0</v>
      </c>
      <c r="I434" s="25">
        <v>0</v>
      </c>
      <c r="J434" s="25">
        <v>0</v>
      </c>
      <c r="K434" s="25">
        <v>0</v>
      </c>
      <c r="L434" s="25">
        <v>0</v>
      </c>
      <c r="M434" s="25">
        <v>0</v>
      </c>
      <c r="N434" s="25">
        <v>0</v>
      </c>
      <c r="O434" s="25">
        <v>0</v>
      </c>
      <c r="P434" s="16">
        <f>SUM(D434:O434)</f>
        <v>0</v>
      </c>
      <c r="Q434" s="25">
        <f>SUM(D434:J434)</f>
        <v>0</v>
      </c>
      <c r="R434" s="16">
        <f>P434-Q434</f>
        <v>0</v>
      </c>
    </row>
    <row r="435" spans="1:18" ht="3.95" customHeight="1"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1:18">
      <c r="A436" s="26" t="s">
        <v>569</v>
      </c>
      <c r="C436" s="17">
        <v>0</v>
      </c>
      <c r="D436" s="14">
        <f t="shared" ref="D436:O436" si="144">SUM(D431:D435)</f>
        <v>0</v>
      </c>
      <c r="E436" s="14">
        <f t="shared" si="144"/>
        <v>0</v>
      </c>
      <c r="F436" s="14">
        <f t="shared" si="144"/>
        <v>0</v>
      </c>
      <c r="G436" s="14">
        <f t="shared" si="144"/>
        <v>0</v>
      </c>
      <c r="H436" s="14">
        <f t="shared" si="144"/>
        <v>0</v>
      </c>
      <c r="I436" s="14">
        <f t="shared" si="144"/>
        <v>0</v>
      </c>
      <c r="J436" s="14">
        <f t="shared" si="144"/>
        <v>0</v>
      </c>
      <c r="K436" s="14">
        <f t="shared" si="144"/>
        <v>0</v>
      </c>
      <c r="L436" s="14">
        <f t="shared" si="144"/>
        <v>0</v>
      </c>
      <c r="M436" s="14">
        <f t="shared" si="144"/>
        <v>0</v>
      </c>
      <c r="N436" s="14">
        <f t="shared" si="144"/>
        <v>0</v>
      </c>
      <c r="O436" s="14">
        <f t="shared" si="144"/>
        <v>0</v>
      </c>
      <c r="P436" s="14"/>
    </row>
    <row r="437" spans="1:18" ht="3.95" customHeight="1"/>
    <row r="438" spans="1:18">
      <c r="A438" s="27" t="s">
        <v>23</v>
      </c>
      <c r="C438" s="14"/>
      <c r="D438" s="14">
        <f t="shared" ref="D438:O438" si="145">D436-C436</f>
        <v>0</v>
      </c>
      <c r="E438" s="14">
        <f t="shared" si="145"/>
        <v>0</v>
      </c>
      <c r="F438" s="14">
        <f t="shared" si="145"/>
        <v>0</v>
      </c>
      <c r="G438" s="14">
        <f t="shared" si="145"/>
        <v>0</v>
      </c>
      <c r="H438" s="14">
        <f t="shared" si="145"/>
        <v>0</v>
      </c>
      <c r="I438" s="14">
        <f t="shared" si="145"/>
        <v>0</v>
      </c>
      <c r="J438" s="14">
        <f t="shared" si="145"/>
        <v>0</v>
      </c>
      <c r="K438" s="14">
        <f t="shared" si="145"/>
        <v>0</v>
      </c>
      <c r="L438" s="14">
        <f t="shared" si="145"/>
        <v>0</v>
      </c>
      <c r="M438" s="14">
        <f t="shared" si="145"/>
        <v>0</v>
      </c>
      <c r="N438" s="14">
        <f t="shared" si="145"/>
        <v>0</v>
      </c>
      <c r="O438" s="14">
        <f t="shared" si="145"/>
        <v>0</v>
      </c>
      <c r="P438" s="14">
        <f>SUM(D438:O438)</f>
        <v>0</v>
      </c>
      <c r="Q438" s="14">
        <f>SUM(Q432:Q435)</f>
        <v>0</v>
      </c>
      <c r="R438" s="14">
        <f>P438-Q438</f>
        <v>0</v>
      </c>
    </row>
    <row r="440" spans="1:18">
      <c r="A440" s="26" t="s">
        <v>146</v>
      </c>
      <c r="C440" s="14"/>
      <c r="D440" s="14">
        <f t="shared" ref="D440:O440" si="146">C448</f>
        <v>1829</v>
      </c>
      <c r="E440" s="14">
        <f t="shared" si="146"/>
        <v>1828</v>
      </c>
      <c r="F440" s="14">
        <f t="shared" si="146"/>
        <v>1828</v>
      </c>
      <c r="G440" s="14">
        <f t="shared" si="146"/>
        <v>1830</v>
      </c>
      <c r="H440" s="14">
        <f t="shared" si="146"/>
        <v>1825</v>
      </c>
      <c r="I440" s="14">
        <f t="shared" si="146"/>
        <v>1827</v>
      </c>
      <c r="J440" s="14">
        <f t="shared" si="146"/>
        <v>1830</v>
      </c>
      <c r="K440" s="14">
        <f t="shared" si="146"/>
        <v>1830</v>
      </c>
      <c r="L440" s="14">
        <f t="shared" si="146"/>
        <v>1830</v>
      </c>
      <c r="M440" s="14">
        <f t="shared" si="146"/>
        <v>1830</v>
      </c>
      <c r="N440" s="14">
        <f t="shared" si="146"/>
        <v>1918</v>
      </c>
      <c r="O440" s="14">
        <f t="shared" si="146"/>
        <v>1918</v>
      </c>
      <c r="P440" s="14"/>
    </row>
    <row r="441" spans="1:18">
      <c r="A441" s="27" t="s">
        <v>147</v>
      </c>
      <c r="B441" s="18" t="s">
        <v>26</v>
      </c>
      <c r="C441" s="17">
        <v>37</v>
      </c>
      <c r="D441" s="14">
        <f>-[1]Source!D48</f>
        <v>-1</v>
      </c>
      <c r="E441" s="141">
        <f>-[1]Source!E48</f>
        <v>0</v>
      </c>
      <c r="F441" s="141">
        <f>-[1]Source!F48</f>
        <v>-1</v>
      </c>
      <c r="G441" s="141">
        <f>-[1]Source!G48</f>
        <v>0</v>
      </c>
      <c r="H441" s="141">
        <f>-[1]Source!H48</f>
        <v>-1</v>
      </c>
      <c r="I441" s="14">
        <f>-[1]Source!I48</f>
        <v>-1</v>
      </c>
      <c r="J441" s="14">
        <f>-[1]Source!J48</f>
        <v>0</v>
      </c>
      <c r="K441" s="14">
        <f>-[1]Source!K48</f>
        <v>-1</v>
      </c>
      <c r="L441" s="14">
        <f>-[1]Source!L48</f>
        <v>0</v>
      </c>
      <c r="M441" s="14">
        <f>-[1]Source!M48</f>
        <v>-1</v>
      </c>
      <c r="N441" s="14">
        <f>-[1]Source!N48</f>
        <v>0</v>
      </c>
      <c r="O441" s="14">
        <f>-[1]Source!O48</f>
        <v>-1</v>
      </c>
      <c r="P441" s="14">
        <f t="shared" ref="P441:P446" si="147">SUM(D441:O441)</f>
        <v>-7</v>
      </c>
      <c r="Q441" s="17">
        <f t="shared" ref="Q441:Q446" si="148">SUM(D441:J441)</f>
        <v>-4</v>
      </c>
      <c r="R441" s="14">
        <f t="shared" ref="R441:R446" si="149">P441-Q441</f>
        <v>-3</v>
      </c>
    </row>
    <row r="442" spans="1:18">
      <c r="A442" s="27" t="s">
        <v>148</v>
      </c>
      <c r="B442" s="18" t="s">
        <v>26</v>
      </c>
      <c r="C442" s="17">
        <v>0</v>
      </c>
      <c r="D442" s="17">
        <v>0</v>
      </c>
      <c r="E442" s="17">
        <v>0</v>
      </c>
      <c r="F442" s="17">
        <v>0</v>
      </c>
      <c r="G442" s="17">
        <v>0</v>
      </c>
      <c r="H442" s="17">
        <v>0</v>
      </c>
      <c r="I442" s="17">
        <v>0</v>
      </c>
      <c r="J442" s="17">
        <v>0</v>
      </c>
      <c r="K442" s="17">
        <v>0</v>
      </c>
      <c r="L442" s="17">
        <v>0</v>
      </c>
      <c r="M442" s="17">
        <v>0</v>
      </c>
      <c r="N442" s="17">
        <v>0</v>
      </c>
      <c r="O442" s="17">
        <v>0</v>
      </c>
      <c r="P442" s="14">
        <f>SUM(D442:O442)</f>
        <v>0</v>
      </c>
      <c r="Q442" s="17">
        <f t="shared" si="148"/>
        <v>0</v>
      </c>
      <c r="R442" s="14">
        <f>P442-Q442</f>
        <v>0</v>
      </c>
    </row>
    <row r="443" spans="1:18">
      <c r="A443" s="27" t="s">
        <v>149</v>
      </c>
      <c r="B443" s="18" t="s">
        <v>26</v>
      </c>
      <c r="C443" s="17">
        <v>1793</v>
      </c>
      <c r="D443" s="141">
        <f>-[1]Source!D71</f>
        <v>0</v>
      </c>
      <c r="E443" s="141">
        <f>-[1]Source!E71</f>
        <v>0</v>
      </c>
      <c r="F443" s="141">
        <f>-[1]Source!F71</f>
        <v>0</v>
      </c>
      <c r="G443" s="141">
        <f>-[1]Source!G71</f>
        <v>0</v>
      </c>
      <c r="H443" s="141">
        <f>-[1]Source!H71</f>
        <v>0</v>
      </c>
      <c r="I443" s="141">
        <f>-[1]Source!I71</f>
        <v>0</v>
      </c>
      <c r="J443" s="141">
        <f>-[1]Source!J71</f>
        <v>0</v>
      </c>
      <c r="K443" s="141">
        <f>-[1]Source!K71</f>
        <v>0</v>
      </c>
      <c r="L443" s="141">
        <f>-[1]Source!L71</f>
        <v>0</v>
      </c>
      <c r="M443" s="186">
        <f>-[1]Source!M71+(985-0)+M217</f>
        <v>89</v>
      </c>
      <c r="N443" s="141">
        <f>-[1]Source!N71</f>
        <v>0</v>
      </c>
      <c r="O443" s="186">
        <f>-[1]Source!O71-985+0</f>
        <v>-985</v>
      </c>
      <c r="P443" s="14">
        <f t="shared" si="147"/>
        <v>-896</v>
      </c>
      <c r="Q443" s="17">
        <f t="shared" si="148"/>
        <v>0</v>
      </c>
      <c r="R443" s="14">
        <f t="shared" si="149"/>
        <v>-896</v>
      </c>
    </row>
    <row r="444" spans="1:18">
      <c r="A444" s="15" t="s">
        <v>32</v>
      </c>
      <c r="C444" s="17">
        <v>0</v>
      </c>
      <c r="D444" s="17">
        <v>0</v>
      </c>
      <c r="E444" s="17">
        <v>0</v>
      </c>
      <c r="F444" s="17">
        <v>0</v>
      </c>
      <c r="G444" s="17">
        <v>0</v>
      </c>
      <c r="H444" s="17">
        <v>0</v>
      </c>
      <c r="I444" s="17">
        <v>0</v>
      </c>
      <c r="J444" s="17">
        <v>0</v>
      </c>
      <c r="K444" s="17">
        <v>0</v>
      </c>
      <c r="L444" s="17">
        <v>0</v>
      </c>
      <c r="M444" s="17">
        <v>0</v>
      </c>
      <c r="N444" s="17">
        <v>0</v>
      </c>
      <c r="O444" s="17">
        <v>0</v>
      </c>
      <c r="P444" s="14">
        <f t="shared" si="147"/>
        <v>0</v>
      </c>
      <c r="Q444" s="17">
        <f t="shared" si="148"/>
        <v>0</v>
      </c>
      <c r="R444" s="14">
        <f t="shared" si="149"/>
        <v>0</v>
      </c>
    </row>
    <row r="445" spans="1:18">
      <c r="A445" s="15" t="s">
        <v>32</v>
      </c>
      <c r="B445" s="18"/>
      <c r="C445" s="17">
        <v>0</v>
      </c>
      <c r="D445" s="17">
        <v>0</v>
      </c>
      <c r="E445" s="17">
        <v>0</v>
      </c>
      <c r="F445" s="17">
        <v>0</v>
      </c>
      <c r="G445" s="17">
        <v>0</v>
      </c>
      <c r="H445" s="17">
        <v>0</v>
      </c>
      <c r="I445" s="17">
        <v>0</v>
      </c>
      <c r="J445" s="17">
        <v>0</v>
      </c>
      <c r="K445" s="17">
        <v>0</v>
      </c>
      <c r="L445" s="17">
        <v>0</v>
      </c>
      <c r="M445" s="17">
        <v>0</v>
      </c>
      <c r="N445" s="17">
        <v>0</v>
      </c>
      <c r="O445" s="17">
        <v>0</v>
      </c>
      <c r="P445" s="14">
        <f t="shared" si="147"/>
        <v>0</v>
      </c>
      <c r="Q445" s="17">
        <f t="shared" si="148"/>
        <v>0</v>
      </c>
      <c r="R445" s="14">
        <f t="shared" si="149"/>
        <v>0</v>
      </c>
    </row>
    <row r="446" spans="1:18">
      <c r="A446" s="27" t="s">
        <v>115</v>
      </c>
      <c r="C446" s="25">
        <v>-1</v>
      </c>
      <c r="D446" s="25">
        <v>0</v>
      </c>
      <c r="E446" s="25">
        <v>0</v>
      </c>
      <c r="F446" s="25">
        <v>3</v>
      </c>
      <c r="G446" s="25">
        <v>-5</v>
      </c>
      <c r="H446" s="25">
        <v>3</v>
      </c>
      <c r="I446" s="25">
        <v>4</v>
      </c>
      <c r="J446" s="25">
        <v>0</v>
      </c>
      <c r="K446" s="25">
        <v>1</v>
      </c>
      <c r="L446" s="25">
        <v>0</v>
      </c>
      <c r="M446" s="25">
        <v>0</v>
      </c>
      <c r="N446" s="25">
        <v>0</v>
      </c>
      <c r="O446" s="25">
        <v>0</v>
      </c>
      <c r="P446" s="16">
        <f t="shared" si="147"/>
        <v>6</v>
      </c>
      <c r="Q446" s="25">
        <f t="shared" si="148"/>
        <v>5</v>
      </c>
      <c r="R446" s="16">
        <f t="shared" si="149"/>
        <v>1</v>
      </c>
    </row>
    <row r="447" spans="1:18" ht="3.95" customHeight="1"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1:18">
      <c r="A448" s="26" t="s">
        <v>150</v>
      </c>
      <c r="C448" s="14">
        <f t="shared" ref="C448:O448" si="150">SUM(C440:C447)</f>
        <v>1829</v>
      </c>
      <c r="D448" s="14">
        <f t="shared" si="150"/>
        <v>1828</v>
      </c>
      <c r="E448" s="14">
        <f t="shared" si="150"/>
        <v>1828</v>
      </c>
      <c r="F448" s="14">
        <f t="shared" si="150"/>
        <v>1830</v>
      </c>
      <c r="G448" s="14">
        <f t="shared" si="150"/>
        <v>1825</v>
      </c>
      <c r="H448" s="14">
        <f t="shared" si="150"/>
        <v>1827</v>
      </c>
      <c r="I448" s="14">
        <f t="shared" si="150"/>
        <v>1830</v>
      </c>
      <c r="J448" s="14">
        <f t="shared" si="150"/>
        <v>1830</v>
      </c>
      <c r="K448" s="14">
        <f t="shared" si="150"/>
        <v>1830</v>
      </c>
      <c r="L448" s="14">
        <f t="shared" si="150"/>
        <v>1830</v>
      </c>
      <c r="M448" s="14">
        <f t="shared" si="150"/>
        <v>1918</v>
      </c>
      <c r="N448" s="14">
        <f t="shared" si="150"/>
        <v>1918</v>
      </c>
      <c r="O448" s="14">
        <f t="shared" si="150"/>
        <v>932</v>
      </c>
      <c r="P448" s="14"/>
    </row>
    <row r="449" spans="1:18" ht="3.95" customHeight="1"/>
    <row r="450" spans="1:18">
      <c r="A450" s="27" t="s">
        <v>23</v>
      </c>
      <c r="C450" s="14"/>
      <c r="D450" s="14">
        <f t="shared" ref="D450:O450" si="151">D448-C448</f>
        <v>-1</v>
      </c>
      <c r="E450" s="14">
        <f t="shared" si="151"/>
        <v>0</v>
      </c>
      <c r="F450" s="14">
        <f t="shared" si="151"/>
        <v>2</v>
      </c>
      <c r="G450" s="14">
        <f t="shared" si="151"/>
        <v>-5</v>
      </c>
      <c r="H450" s="14">
        <f t="shared" si="151"/>
        <v>2</v>
      </c>
      <c r="I450" s="14">
        <f t="shared" si="151"/>
        <v>3</v>
      </c>
      <c r="J450" s="14">
        <f t="shared" si="151"/>
        <v>0</v>
      </c>
      <c r="K450" s="14">
        <f t="shared" si="151"/>
        <v>0</v>
      </c>
      <c r="L450" s="14">
        <f t="shared" si="151"/>
        <v>0</v>
      </c>
      <c r="M450" s="14">
        <f t="shared" si="151"/>
        <v>88</v>
      </c>
      <c r="N450" s="14">
        <f t="shared" si="151"/>
        <v>0</v>
      </c>
      <c r="O450" s="14">
        <f t="shared" si="151"/>
        <v>-986</v>
      </c>
      <c r="P450" s="14">
        <f>SUM(D450:O450)</f>
        <v>-897</v>
      </c>
      <c r="Q450" s="14">
        <f>SUM(Q441:Q447)</f>
        <v>1</v>
      </c>
      <c r="R450" s="14">
        <f>P450-Q450</f>
        <v>-898</v>
      </c>
    </row>
    <row r="452" spans="1:18">
      <c r="A452" s="26" t="s">
        <v>617</v>
      </c>
      <c r="D452" s="14">
        <f t="shared" ref="D452:O452" si="152">C458</f>
        <v>12759</v>
      </c>
      <c r="E452" s="14">
        <f t="shared" si="152"/>
        <v>17580</v>
      </c>
      <c r="F452" s="14">
        <f t="shared" si="152"/>
        <v>24079</v>
      </c>
      <c r="G452" s="14">
        <f t="shared" si="152"/>
        <v>21841</v>
      </c>
      <c r="H452" s="14">
        <f t="shared" si="152"/>
        <v>23550</v>
      </c>
      <c r="I452" s="14">
        <f t="shared" si="152"/>
        <v>11813</v>
      </c>
      <c r="J452" s="14">
        <f t="shared" si="152"/>
        <v>1245</v>
      </c>
      <c r="K452" s="14">
        <f t="shared" si="152"/>
        <v>2910</v>
      </c>
      <c r="L452" s="14">
        <f t="shared" si="152"/>
        <v>2910</v>
      </c>
      <c r="M452" s="14">
        <f t="shared" si="152"/>
        <v>2910</v>
      </c>
      <c r="N452" s="14">
        <f t="shared" si="152"/>
        <v>2910</v>
      </c>
      <c r="O452" s="14">
        <f t="shared" si="152"/>
        <v>2910</v>
      </c>
    </row>
    <row r="453" spans="1:18">
      <c r="A453" s="27" t="s">
        <v>537</v>
      </c>
      <c r="B453" s="18"/>
      <c r="C453" s="17">
        <v>7907</v>
      </c>
      <c r="D453" s="224">
        <f>D138</f>
        <v>4821</v>
      </c>
      <c r="E453" s="224">
        <f t="shared" ref="E453:O453" si="153">E138</f>
        <v>6499</v>
      </c>
      <c r="F453" s="224">
        <f t="shared" si="153"/>
        <v>-2238</v>
      </c>
      <c r="G453" s="224">
        <f t="shared" si="153"/>
        <v>1724</v>
      </c>
      <c r="H453" s="224">
        <f t="shared" si="153"/>
        <v>-11737</v>
      </c>
      <c r="I453" s="224">
        <f t="shared" si="153"/>
        <v>-13611</v>
      </c>
      <c r="J453" s="224">
        <f t="shared" si="153"/>
        <v>-1824</v>
      </c>
      <c r="K453" s="224">
        <f t="shared" si="153"/>
        <v>0</v>
      </c>
      <c r="L453" s="224">
        <f t="shared" si="153"/>
        <v>0</v>
      </c>
      <c r="M453" s="224">
        <f t="shared" si="153"/>
        <v>0</v>
      </c>
      <c r="N453" s="224">
        <f t="shared" si="153"/>
        <v>0</v>
      </c>
      <c r="O453" s="224">
        <f t="shared" si="153"/>
        <v>0</v>
      </c>
      <c r="P453" s="14">
        <f>SUM(D453:O453)</f>
        <v>-16366</v>
      </c>
      <c r="Q453" s="17">
        <f>SUM(D453:J453)</f>
        <v>-16366</v>
      </c>
      <c r="R453" s="14">
        <f>P453-Q453</f>
        <v>0</v>
      </c>
    </row>
    <row r="454" spans="1:18">
      <c r="A454" s="27" t="s">
        <v>561</v>
      </c>
      <c r="C454" s="17">
        <v>4852</v>
      </c>
      <c r="D454" s="17">
        <v>0</v>
      </c>
      <c r="E454" s="17">
        <v>0</v>
      </c>
      <c r="F454" s="17">
        <v>0</v>
      </c>
      <c r="G454" s="17">
        <v>0</v>
      </c>
      <c r="H454" s="17">
        <v>0</v>
      </c>
      <c r="I454" s="17">
        <v>3043</v>
      </c>
      <c r="J454" s="17">
        <v>3489</v>
      </c>
      <c r="K454" s="17">
        <v>0</v>
      </c>
      <c r="L454" s="17">
        <v>0</v>
      </c>
      <c r="M454" s="17">
        <v>0</v>
      </c>
      <c r="N454" s="17">
        <v>0</v>
      </c>
      <c r="O454" s="17">
        <v>0</v>
      </c>
      <c r="P454" s="14">
        <f>SUM(D454:O454)</f>
        <v>6532</v>
      </c>
      <c r="Q454" s="17">
        <f>SUM(D454:J454)</f>
        <v>6532</v>
      </c>
      <c r="R454" s="14">
        <f>P454-Q454</f>
        <v>0</v>
      </c>
    </row>
    <row r="455" spans="1:18">
      <c r="A455" s="27" t="s">
        <v>594</v>
      </c>
      <c r="C455" s="17">
        <v>0</v>
      </c>
      <c r="D455" s="17">
        <v>0</v>
      </c>
      <c r="E455" s="17">
        <v>0</v>
      </c>
      <c r="F455" s="17">
        <v>0</v>
      </c>
      <c r="G455" s="17">
        <v>-15</v>
      </c>
      <c r="H455" s="17">
        <v>0</v>
      </c>
      <c r="I455" s="17">
        <v>0</v>
      </c>
      <c r="J455" s="17">
        <v>0</v>
      </c>
      <c r="K455" s="17">
        <v>0</v>
      </c>
      <c r="L455" s="17">
        <v>0</v>
      </c>
      <c r="M455" s="17">
        <v>0</v>
      </c>
      <c r="N455" s="17">
        <v>0</v>
      </c>
      <c r="O455" s="17">
        <v>0</v>
      </c>
      <c r="P455" s="14">
        <f>SUM(D455:O455)</f>
        <v>-15</v>
      </c>
      <c r="Q455" s="17">
        <f>SUM(D455:J455)</f>
        <v>-15</v>
      </c>
      <c r="R455" s="14">
        <f>P455-Q455</f>
        <v>0</v>
      </c>
    </row>
    <row r="456" spans="1:18">
      <c r="A456" s="27" t="s">
        <v>115</v>
      </c>
      <c r="C456" s="25">
        <v>0</v>
      </c>
      <c r="D456" s="25">
        <v>0</v>
      </c>
      <c r="E456" s="25">
        <v>0</v>
      </c>
      <c r="F456" s="25">
        <v>0</v>
      </c>
      <c r="G456" s="25">
        <v>0</v>
      </c>
      <c r="H456" s="25">
        <v>0</v>
      </c>
      <c r="I456" s="25">
        <v>0</v>
      </c>
      <c r="J456" s="25">
        <v>0</v>
      </c>
      <c r="K456" s="25">
        <v>0</v>
      </c>
      <c r="L456" s="25">
        <v>0</v>
      </c>
      <c r="M456" s="25">
        <v>0</v>
      </c>
      <c r="N456" s="25">
        <v>0</v>
      </c>
      <c r="O456" s="25">
        <v>0</v>
      </c>
      <c r="P456" s="16">
        <f>SUM(D456:O456)</f>
        <v>0</v>
      </c>
      <c r="Q456" s="25">
        <f>SUM(D456:J456)</f>
        <v>0</v>
      </c>
      <c r="R456" s="16">
        <f>P456-Q456</f>
        <v>0</v>
      </c>
    </row>
    <row r="457" spans="1:18" ht="3.95" customHeight="1"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</row>
    <row r="458" spans="1:18">
      <c r="A458" s="26" t="s">
        <v>618</v>
      </c>
      <c r="C458" s="14">
        <f t="shared" ref="C458:O458" si="154">SUM(C452:C457)</f>
        <v>12759</v>
      </c>
      <c r="D458" s="14">
        <f t="shared" si="154"/>
        <v>17580</v>
      </c>
      <c r="E458" s="14">
        <f t="shared" si="154"/>
        <v>24079</v>
      </c>
      <c r="F458" s="14">
        <f t="shared" si="154"/>
        <v>21841</v>
      </c>
      <c r="G458" s="14">
        <f t="shared" si="154"/>
        <v>23550</v>
      </c>
      <c r="H458" s="14">
        <f t="shared" si="154"/>
        <v>11813</v>
      </c>
      <c r="I458" s="14">
        <f t="shared" si="154"/>
        <v>1245</v>
      </c>
      <c r="J458" s="14">
        <f t="shared" si="154"/>
        <v>2910</v>
      </c>
      <c r="K458" s="14">
        <f t="shared" si="154"/>
        <v>2910</v>
      </c>
      <c r="L458" s="14">
        <f t="shared" si="154"/>
        <v>2910</v>
      </c>
      <c r="M458" s="14">
        <f t="shared" si="154"/>
        <v>2910</v>
      </c>
      <c r="N458" s="14">
        <f t="shared" si="154"/>
        <v>2910</v>
      </c>
      <c r="O458" s="14">
        <f t="shared" si="154"/>
        <v>2910</v>
      </c>
      <c r="P458" s="14"/>
    </row>
    <row r="459" spans="1:18" ht="3.95" customHeight="1"/>
    <row r="460" spans="1:18">
      <c r="A460" s="27" t="s">
        <v>23</v>
      </c>
      <c r="C460" s="14"/>
      <c r="D460" s="14">
        <f t="shared" ref="D460:O460" si="155">D458-C458</f>
        <v>4821</v>
      </c>
      <c r="E460" s="14">
        <f t="shared" si="155"/>
        <v>6499</v>
      </c>
      <c r="F460" s="14">
        <f t="shared" si="155"/>
        <v>-2238</v>
      </c>
      <c r="G460" s="14">
        <f t="shared" si="155"/>
        <v>1709</v>
      </c>
      <c r="H460" s="14">
        <f t="shared" si="155"/>
        <v>-11737</v>
      </c>
      <c r="I460" s="14">
        <f t="shared" si="155"/>
        <v>-10568</v>
      </c>
      <c r="J460" s="14">
        <f t="shared" si="155"/>
        <v>1665</v>
      </c>
      <c r="K460" s="14">
        <f t="shared" si="155"/>
        <v>0</v>
      </c>
      <c r="L460" s="14">
        <f t="shared" si="155"/>
        <v>0</v>
      </c>
      <c r="M460" s="14">
        <f t="shared" si="155"/>
        <v>0</v>
      </c>
      <c r="N460" s="14">
        <f t="shared" si="155"/>
        <v>0</v>
      </c>
      <c r="O460" s="14">
        <f t="shared" si="155"/>
        <v>0</v>
      </c>
      <c r="P460" s="14">
        <f>SUM(D460:O460)</f>
        <v>-9849</v>
      </c>
      <c r="Q460" s="14">
        <f>SUM(Q453:Q457)</f>
        <v>-9849</v>
      </c>
      <c r="R460" s="14">
        <f>P460-Q460</f>
        <v>0</v>
      </c>
    </row>
    <row r="461" spans="1:18" ht="8.1" customHeight="1"/>
    <row r="463" spans="1:18">
      <c r="A463" s="26" t="s">
        <v>584</v>
      </c>
      <c r="C463" s="14"/>
      <c r="D463" s="14">
        <f t="shared" ref="D463:O463" si="156">C473</f>
        <v>-897027</v>
      </c>
      <c r="E463" s="14">
        <f t="shared" si="156"/>
        <v>-947651</v>
      </c>
      <c r="F463" s="14">
        <f t="shared" si="156"/>
        <v>-937500</v>
      </c>
      <c r="G463" s="14">
        <f t="shared" si="156"/>
        <v>-970640</v>
      </c>
      <c r="H463" s="14">
        <f t="shared" si="156"/>
        <v>-1018504</v>
      </c>
      <c r="I463" s="14">
        <f t="shared" si="156"/>
        <v>-1037688</v>
      </c>
      <c r="J463" s="14">
        <f t="shared" si="156"/>
        <v>-1048458</v>
      </c>
      <c r="K463" s="14">
        <f t="shared" si="156"/>
        <v>-1067891</v>
      </c>
      <c r="L463" s="14">
        <f t="shared" si="156"/>
        <v>-1085805</v>
      </c>
      <c r="M463" s="14">
        <f t="shared" si="156"/>
        <v>-1087205</v>
      </c>
      <c r="N463" s="14">
        <f t="shared" si="156"/>
        <v>-1090605</v>
      </c>
      <c r="O463" s="14">
        <f t="shared" si="156"/>
        <v>-1089105</v>
      </c>
      <c r="P463" s="14"/>
    </row>
    <row r="464" spans="1:18">
      <c r="A464" s="112" t="s">
        <v>151</v>
      </c>
      <c r="D464" s="17">
        <v>-31364</v>
      </c>
      <c r="E464" s="17">
        <v>29094</v>
      </c>
      <c r="F464" s="17">
        <v>-8292</v>
      </c>
      <c r="G464" s="17">
        <v>-47457</v>
      </c>
      <c r="H464" s="17">
        <v>-13345</v>
      </c>
      <c r="I464" s="17">
        <v>2393</v>
      </c>
      <c r="J464" s="225">
        <f>-11018+1</f>
        <v>-11017</v>
      </c>
      <c r="K464" s="17">
        <v>-12014</v>
      </c>
      <c r="L464" s="17">
        <v>5400</v>
      </c>
      <c r="M464" s="17">
        <v>16600</v>
      </c>
      <c r="N464" s="17">
        <v>22000</v>
      </c>
      <c r="O464" s="17">
        <v>14300</v>
      </c>
      <c r="P464" s="14">
        <f t="shared" ref="P464:P471" si="157">SUM(D464:O464)</f>
        <v>-33702</v>
      </c>
      <c r="Q464" s="17">
        <f t="shared" ref="Q464:Q471" si="158">SUM(D464:J464)</f>
        <v>-79988</v>
      </c>
      <c r="R464" s="14">
        <f t="shared" ref="R464:R471" si="159">P464-Q464</f>
        <v>46286</v>
      </c>
    </row>
    <row r="465" spans="1:18">
      <c r="A465" s="27" t="s">
        <v>152</v>
      </c>
      <c r="D465" s="178">
        <f>-D310</f>
        <v>-19260</v>
      </c>
      <c r="E465" s="178">
        <f t="shared" ref="E465:O465" si="160">-E310</f>
        <v>-18943</v>
      </c>
      <c r="F465" s="178">
        <f t="shared" si="160"/>
        <v>-24848</v>
      </c>
      <c r="G465" s="178">
        <f t="shared" si="160"/>
        <v>-407</v>
      </c>
      <c r="H465" s="178">
        <f t="shared" si="160"/>
        <v>-5839</v>
      </c>
      <c r="I465" s="178">
        <f t="shared" si="160"/>
        <v>-13163</v>
      </c>
      <c r="J465" s="178">
        <f t="shared" si="160"/>
        <v>-8416</v>
      </c>
      <c r="K465" s="178">
        <f t="shared" si="160"/>
        <v>-5900</v>
      </c>
      <c r="L465" s="178">
        <f t="shared" si="160"/>
        <v>-6800</v>
      </c>
      <c r="M465" s="178">
        <f t="shared" si="160"/>
        <v>-20000</v>
      </c>
      <c r="N465" s="178">
        <f t="shared" si="160"/>
        <v>-20500</v>
      </c>
      <c r="O465" s="178">
        <f t="shared" si="160"/>
        <v>-18800</v>
      </c>
      <c r="P465" s="14">
        <f t="shared" si="157"/>
        <v>-162876</v>
      </c>
      <c r="Q465" s="17">
        <f t="shared" si="158"/>
        <v>-90876</v>
      </c>
      <c r="R465" s="14">
        <f t="shared" si="159"/>
        <v>-72000</v>
      </c>
    </row>
    <row r="466" spans="1:18">
      <c r="A466" s="27" t="s">
        <v>153</v>
      </c>
      <c r="D466" s="178">
        <f>-D319+D319</f>
        <v>0</v>
      </c>
      <c r="E466" s="178">
        <f t="shared" ref="E466:O466" si="161">-E319+E319</f>
        <v>0</v>
      </c>
      <c r="F466" s="178">
        <f t="shared" si="161"/>
        <v>0</v>
      </c>
      <c r="G466" s="178">
        <f t="shared" si="161"/>
        <v>0</v>
      </c>
      <c r="H466" s="178">
        <f t="shared" si="161"/>
        <v>0</v>
      </c>
      <c r="I466" s="178">
        <f t="shared" si="161"/>
        <v>0</v>
      </c>
      <c r="J466" s="178">
        <f t="shared" si="161"/>
        <v>0</v>
      </c>
      <c r="K466" s="178">
        <f t="shared" si="161"/>
        <v>0</v>
      </c>
      <c r="L466" s="178">
        <f t="shared" si="161"/>
        <v>0</v>
      </c>
      <c r="M466" s="178">
        <f t="shared" si="161"/>
        <v>0</v>
      </c>
      <c r="N466" s="178">
        <f t="shared" si="161"/>
        <v>0</v>
      </c>
      <c r="O466" s="178">
        <f t="shared" si="161"/>
        <v>0</v>
      </c>
      <c r="P466" s="14">
        <f t="shared" si="157"/>
        <v>0</v>
      </c>
      <c r="Q466" s="17">
        <f t="shared" si="158"/>
        <v>0</v>
      </c>
      <c r="R466" s="14">
        <f t="shared" si="159"/>
        <v>0</v>
      </c>
    </row>
    <row r="467" spans="1:18">
      <c r="A467" s="27" t="s">
        <v>154</v>
      </c>
      <c r="D467" s="14">
        <f t="shared" ref="D467:O467" si="162">-D496</f>
        <v>0</v>
      </c>
      <c r="E467" s="14">
        <f t="shared" si="162"/>
        <v>0</v>
      </c>
      <c r="F467" s="14">
        <f t="shared" si="162"/>
        <v>0</v>
      </c>
      <c r="G467" s="14">
        <f t="shared" si="162"/>
        <v>0</v>
      </c>
      <c r="H467" s="14">
        <f t="shared" si="162"/>
        <v>0</v>
      </c>
      <c r="I467" s="14">
        <f t="shared" si="162"/>
        <v>0</v>
      </c>
      <c r="J467" s="14">
        <f t="shared" si="162"/>
        <v>0</v>
      </c>
      <c r="K467" s="14">
        <f t="shared" si="162"/>
        <v>0</v>
      </c>
      <c r="L467" s="14">
        <f t="shared" si="162"/>
        <v>0</v>
      </c>
      <c r="M467" s="14">
        <f t="shared" si="162"/>
        <v>0</v>
      </c>
      <c r="N467" s="14">
        <f t="shared" si="162"/>
        <v>0</v>
      </c>
      <c r="O467" s="14">
        <f t="shared" si="162"/>
        <v>0</v>
      </c>
      <c r="P467" s="14">
        <f t="shared" si="157"/>
        <v>0</v>
      </c>
      <c r="Q467" s="17">
        <f t="shared" si="158"/>
        <v>0</v>
      </c>
      <c r="R467" s="14">
        <f t="shared" si="159"/>
        <v>0</v>
      </c>
    </row>
    <row r="468" spans="1:18">
      <c r="A468" s="27" t="s">
        <v>155</v>
      </c>
      <c r="D468" s="178">
        <f>-D482+D482</f>
        <v>0</v>
      </c>
      <c r="E468" s="178">
        <f t="shared" ref="E468:O468" si="163">-E482+E482</f>
        <v>0</v>
      </c>
      <c r="F468" s="178">
        <f t="shared" si="163"/>
        <v>0</v>
      </c>
      <c r="G468" s="178">
        <f t="shared" si="163"/>
        <v>0</v>
      </c>
      <c r="H468" s="178">
        <f t="shared" si="163"/>
        <v>0</v>
      </c>
      <c r="I468" s="178">
        <f t="shared" si="163"/>
        <v>0</v>
      </c>
      <c r="J468" s="178">
        <f t="shared" si="163"/>
        <v>0</v>
      </c>
      <c r="K468" s="178">
        <f t="shared" si="163"/>
        <v>0</v>
      </c>
      <c r="L468" s="178">
        <f t="shared" si="163"/>
        <v>0</v>
      </c>
      <c r="M468" s="178">
        <f t="shared" si="163"/>
        <v>0</v>
      </c>
      <c r="N468" s="178">
        <f t="shared" si="163"/>
        <v>0</v>
      </c>
      <c r="O468" s="178">
        <f t="shared" si="163"/>
        <v>0</v>
      </c>
      <c r="P468" s="14">
        <f t="shared" si="157"/>
        <v>0</v>
      </c>
      <c r="Q468" s="17">
        <f t="shared" si="158"/>
        <v>0</v>
      </c>
      <c r="R468" s="14">
        <f t="shared" si="159"/>
        <v>0</v>
      </c>
    </row>
    <row r="469" spans="1:18">
      <c r="A469" s="27" t="s">
        <v>32</v>
      </c>
      <c r="D469" s="17">
        <v>0</v>
      </c>
      <c r="E469" s="17">
        <v>0</v>
      </c>
      <c r="F469" s="17">
        <v>0</v>
      </c>
      <c r="G469" s="17">
        <v>0</v>
      </c>
      <c r="H469" s="17">
        <v>0</v>
      </c>
      <c r="I469" s="17">
        <v>0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7">
        <v>0</v>
      </c>
      <c r="P469" s="14">
        <f t="shared" si="157"/>
        <v>0</v>
      </c>
      <c r="Q469" s="17">
        <f t="shared" si="158"/>
        <v>0</v>
      </c>
      <c r="R469" s="14">
        <f t="shared" si="159"/>
        <v>0</v>
      </c>
    </row>
    <row r="470" spans="1:18">
      <c r="A470" s="27" t="s">
        <v>156</v>
      </c>
      <c r="C470" s="17"/>
      <c r="D470" s="17">
        <v>0</v>
      </c>
      <c r="E470" s="17">
        <v>0</v>
      </c>
      <c r="F470" s="17">
        <v>0</v>
      </c>
      <c r="G470" s="17">
        <v>0</v>
      </c>
      <c r="H470" s="17">
        <v>0</v>
      </c>
      <c r="I470" s="17">
        <v>0</v>
      </c>
      <c r="J470" s="17">
        <v>0</v>
      </c>
      <c r="K470" s="17">
        <v>0</v>
      </c>
      <c r="L470" s="17">
        <v>0</v>
      </c>
      <c r="M470" s="17">
        <v>0</v>
      </c>
      <c r="N470" s="17">
        <v>0</v>
      </c>
      <c r="O470" s="17">
        <v>0</v>
      </c>
      <c r="P470" s="14">
        <f t="shared" si="157"/>
        <v>0</v>
      </c>
      <c r="Q470" s="17">
        <f t="shared" si="158"/>
        <v>0</v>
      </c>
      <c r="R470" s="14">
        <f t="shared" si="159"/>
        <v>0</v>
      </c>
    </row>
    <row r="471" spans="1:18">
      <c r="A471" s="27" t="s">
        <v>115</v>
      </c>
      <c r="C471" s="25">
        <v>0</v>
      </c>
      <c r="D471" s="25">
        <v>0</v>
      </c>
      <c r="E471" s="25">
        <v>0</v>
      </c>
      <c r="F471" s="25">
        <v>0</v>
      </c>
      <c r="G471" s="25">
        <v>0</v>
      </c>
      <c r="H471" s="25">
        <v>0</v>
      </c>
      <c r="I471" s="25">
        <v>0</v>
      </c>
      <c r="J471" s="25">
        <v>0</v>
      </c>
      <c r="K471" s="25">
        <v>0</v>
      </c>
      <c r="L471" s="25">
        <v>0</v>
      </c>
      <c r="M471" s="25">
        <v>0</v>
      </c>
      <c r="N471" s="25">
        <v>0</v>
      </c>
      <c r="O471" s="25">
        <v>0</v>
      </c>
      <c r="P471" s="16">
        <f t="shared" si="157"/>
        <v>0</v>
      </c>
      <c r="Q471" s="25">
        <f t="shared" si="158"/>
        <v>0</v>
      </c>
      <c r="R471" s="16">
        <f t="shared" si="159"/>
        <v>0</v>
      </c>
    </row>
    <row r="472" spans="1:18" ht="3.95" customHeight="1"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</row>
    <row r="473" spans="1:18">
      <c r="A473" s="26" t="s">
        <v>585</v>
      </c>
      <c r="C473" s="17">
        <v>-897027</v>
      </c>
      <c r="D473" s="14">
        <f t="shared" ref="D473:O473" si="164">SUM(D463:D472)</f>
        <v>-947651</v>
      </c>
      <c r="E473" s="14">
        <f t="shared" si="164"/>
        <v>-937500</v>
      </c>
      <c r="F473" s="14">
        <f t="shared" si="164"/>
        <v>-970640</v>
      </c>
      <c r="G473" s="14">
        <f t="shared" si="164"/>
        <v>-1018504</v>
      </c>
      <c r="H473" s="14">
        <f t="shared" si="164"/>
        <v>-1037688</v>
      </c>
      <c r="I473" s="14">
        <f t="shared" si="164"/>
        <v>-1048458</v>
      </c>
      <c r="J473" s="14">
        <f t="shared" si="164"/>
        <v>-1067891</v>
      </c>
      <c r="K473" s="14">
        <f t="shared" si="164"/>
        <v>-1085805</v>
      </c>
      <c r="L473" s="14">
        <f t="shared" si="164"/>
        <v>-1087205</v>
      </c>
      <c r="M473" s="14">
        <f t="shared" si="164"/>
        <v>-1090605</v>
      </c>
      <c r="N473" s="14">
        <f t="shared" si="164"/>
        <v>-1089105</v>
      </c>
      <c r="O473" s="14">
        <f t="shared" si="164"/>
        <v>-1093605</v>
      </c>
      <c r="P473" s="14"/>
    </row>
    <row r="474" spans="1:18" ht="3.95" customHeight="1"/>
    <row r="475" spans="1:18">
      <c r="A475" s="27" t="s">
        <v>23</v>
      </c>
      <c r="D475" s="14">
        <f t="shared" ref="D475:O475" si="165">D473-C473</f>
        <v>-50624</v>
      </c>
      <c r="E475" s="14">
        <f t="shared" si="165"/>
        <v>10151</v>
      </c>
      <c r="F475" s="14">
        <f t="shared" si="165"/>
        <v>-33140</v>
      </c>
      <c r="G475" s="14">
        <f t="shared" si="165"/>
        <v>-47864</v>
      </c>
      <c r="H475" s="14">
        <f t="shared" si="165"/>
        <v>-19184</v>
      </c>
      <c r="I475" s="14">
        <f t="shared" si="165"/>
        <v>-10770</v>
      </c>
      <c r="J475" s="14">
        <f t="shared" si="165"/>
        <v>-19433</v>
      </c>
      <c r="K475" s="14">
        <f t="shared" si="165"/>
        <v>-17914</v>
      </c>
      <c r="L475" s="14">
        <f t="shared" si="165"/>
        <v>-1400</v>
      </c>
      <c r="M475" s="14">
        <f t="shared" si="165"/>
        <v>-3400</v>
      </c>
      <c r="N475" s="14">
        <f t="shared" si="165"/>
        <v>1500</v>
      </c>
      <c r="O475" s="14">
        <f t="shared" si="165"/>
        <v>-4500</v>
      </c>
      <c r="P475" s="14">
        <f>SUM(D475:O475)</f>
        <v>-196578</v>
      </c>
      <c r="Q475" s="14">
        <f>SUM(Q471:Q472)</f>
        <v>0</v>
      </c>
      <c r="R475" s="14">
        <f>P475-Q475</f>
        <v>-196578</v>
      </c>
    </row>
    <row r="478" spans="1:18">
      <c r="A478" s="26" t="s">
        <v>157</v>
      </c>
      <c r="D478" s="14">
        <f t="shared" ref="D478:O478" si="166">C485</f>
        <v>499666</v>
      </c>
      <c r="E478" s="14">
        <f t="shared" si="166"/>
        <v>499672</v>
      </c>
      <c r="F478" s="14">
        <f t="shared" si="166"/>
        <v>499678</v>
      </c>
      <c r="G478" s="14">
        <f t="shared" si="166"/>
        <v>499685</v>
      </c>
      <c r="H478" s="14">
        <f t="shared" si="166"/>
        <v>499691</v>
      </c>
      <c r="I478" s="14">
        <f t="shared" si="166"/>
        <v>499698</v>
      </c>
      <c r="J478" s="14">
        <f t="shared" si="166"/>
        <v>499704</v>
      </c>
      <c r="K478" s="14">
        <f t="shared" si="166"/>
        <v>499711</v>
      </c>
      <c r="L478" s="14">
        <f t="shared" si="166"/>
        <v>499717</v>
      </c>
      <c r="M478" s="14">
        <f t="shared" si="166"/>
        <v>499724</v>
      </c>
      <c r="N478" s="14">
        <f t="shared" si="166"/>
        <v>499730</v>
      </c>
      <c r="O478" s="14">
        <f t="shared" si="166"/>
        <v>499737</v>
      </c>
    </row>
    <row r="479" spans="1:18">
      <c r="A479" s="27" t="s">
        <v>158</v>
      </c>
      <c r="C479" s="17">
        <v>250000</v>
      </c>
      <c r="D479" s="17">
        <v>0</v>
      </c>
      <c r="E479" s="17">
        <v>0</v>
      </c>
      <c r="F479" s="17">
        <v>0</v>
      </c>
      <c r="G479" s="17">
        <v>0</v>
      </c>
      <c r="H479" s="17">
        <v>0</v>
      </c>
      <c r="I479" s="17">
        <v>0</v>
      </c>
      <c r="J479" s="17">
        <v>0</v>
      </c>
      <c r="K479" s="17">
        <v>0</v>
      </c>
      <c r="L479" s="17">
        <v>0</v>
      </c>
      <c r="M479" s="17">
        <v>0</v>
      </c>
      <c r="N479" s="17">
        <v>0</v>
      </c>
      <c r="O479" s="17">
        <v>0</v>
      </c>
      <c r="P479" s="14">
        <f>SUM(D479:O479)</f>
        <v>0</v>
      </c>
      <c r="Q479" s="17">
        <f>SUM(D479:J479)</f>
        <v>0</v>
      </c>
      <c r="R479" s="14">
        <f>P479-Q479</f>
        <v>0</v>
      </c>
    </row>
    <row r="480" spans="1:18">
      <c r="A480" s="27" t="s">
        <v>159</v>
      </c>
      <c r="C480" s="17">
        <v>100000</v>
      </c>
      <c r="D480" s="17">
        <v>0</v>
      </c>
      <c r="E480" s="17">
        <v>0</v>
      </c>
      <c r="F480" s="17">
        <v>0</v>
      </c>
      <c r="G480" s="17">
        <v>0</v>
      </c>
      <c r="H480" s="17">
        <v>0</v>
      </c>
      <c r="I480" s="17">
        <v>0</v>
      </c>
      <c r="J480" s="17">
        <v>0</v>
      </c>
      <c r="K480" s="17">
        <v>0</v>
      </c>
      <c r="L480" s="17">
        <v>0</v>
      </c>
      <c r="M480" s="17">
        <v>0</v>
      </c>
      <c r="N480" s="17">
        <v>0</v>
      </c>
      <c r="O480" s="17">
        <v>0</v>
      </c>
      <c r="P480" s="14">
        <f>SUM(D480:O480)</f>
        <v>0</v>
      </c>
      <c r="Q480" s="17">
        <f>SUM(D480:J480)</f>
        <v>0</v>
      </c>
      <c r="R480" s="14">
        <f>P480-Q480</f>
        <v>0</v>
      </c>
    </row>
    <row r="481" spans="1:18">
      <c r="A481" s="27" t="s">
        <v>160</v>
      </c>
      <c r="C481" s="17">
        <v>150000</v>
      </c>
      <c r="D481" s="17">
        <v>0</v>
      </c>
      <c r="E481" s="17">
        <v>0</v>
      </c>
      <c r="F481" s="17">
        <v>0</v>
      </c>
      <c r="G481" s="17">
        <v>0</v>
      </c>
      <c r="H481" s="17">
        <v>0</v>
      </c>
      <c r="I481" s="17">
        <v>0</v>
      </c>
      <c r="J481" s="17">
        <v>0</v>
      </c>
      <c r="K481" s="17">
        <v>0</v>
      </c>
      <c r="L481" s="17">
        <v>0</v>
      </c>
      <c r="M481" s="17">
        <v>0</v>
      </c>
      <c r="N481" s="17">
        <v>0</v>
      </c>
      <c r="O481" s="17">
        <v>0</v>
      </c>
      <c r="P481" s="14">
        <f>SUM(D481:O481)</f>
        <v>0</v>
      </c>
      <c r="Q481" s="17">
        <f>SUM(D481:J481)</f>
        <v>0</v>
      </c>
      <c r="R481" s="14">
        <f>P481-Q481</f>
        <v>0</v>
      </c>
    </row>
    <row r="482" spans="1:18">
      <c r="A482" s="27" t="s">
        <v>161</v>
      </c>
      <c r="C482" s="17">
        <v>-334</v>
      </c>
      <c r="D482" s="17">
        <v>6</v>
      </c>
      <c r="E482" s="17">
        <v>6</v>
      </c>
      <c r="F482" s="17">
        <v>7</v>
      </c>
      <c r="G482" s="17">
        <v>6</v>
      </c>
      <c r="H482" s="17">
        <v>7</v>
      </c>
      <c r="I482" s="17">
        <v>6</v>
      </c>
      <c r="J482" s="17">
        <v>7</v>
      </c>
      <c r="K482" s="17">
        <v>6</v>
      </c>
      <c r="L482" s="17">
        <v>7</v>
      </c>
      <c r="M482" s="17">
        <v>6</v>
      </c>
      <c r="N482" s="17">
        <v>7</v>
      </c>
      <c r="O482" s="17">
        <v>6</v>
      </c>
      <c r="P482" s="14">
        <f>SUM(D482:O482)</f>
        <v>77</v>
      </c>
      <c r="Q482" s="17">
        <f>SUM(D482:J482)</f>
        <v>45</v>
      </c>
      <c r="R482" s="14">
        <f>P482-Q482</f>
        <v>32</v>
      </c>
    </row>
    <row r="483" spans="1:18">
      <c r="A483" s="27" t="s">
        <v>115</v>
      </c>
      <c r="C483" s="25">
        <v>0</v>
      </c>
      <c r="D483" s="25">
        <v>0</v>
      </c>
      <c r="E483" s="25">
        <v>0</v>
      </c>
      <c r="F483" s="25">
        <v>0</v>
      </c>
      <c r="G483" s="25">
        <v>0</v>
      </c>
      <c r="H483" s="25">
        <v>0</v>
      </c>
      <c r="I483" s="25">
        <v>0</v>
      </c>
      <c r="J483" s="25">
        <v>0</v>
      </c>
      <c r="K483" s="25">
        <v>0</v>
      </c>
      <c r="L483" s="25">
        <v>0</v>
      </c>
      <c r="M483" s="25">
        <v>0</v>
      </c>
      <c r="N483" s="25">
        <v>0</v>
      </c>
      <c r="O483" s="25">
        <v>0</v>
      </c>
      <c r="P483" s="16">
        <f>SUM(D483:O483)</f>
        <v>0</v>
      </c>
      <c r="Q483" s="25">
        <f>SUM(D483:J483)</f>
        <v>0</v>
      </c>
      <c r="R483" s="16">
        <f>P483-Q483</f>
        <v>0</v>
      </c>
    </row>
    <row r="484" spans="1:18" ht="3.95" customHeight="1">
      <c r="C484" s="17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</row>
    <row r="485" spans="1:18">
      <c r="A485" s="26" t="s">
        <v>162</v>
      </c>
      <c r="C485" s="14">
        <f t="shared" ref="C485:O485" si="167">SUM(C478:C484)</f>
        <v>499666</v>
      </c>
      <c r="D485" s="14">
        <f t="shared" si="167"/>
        <v>499672</v>
      </c>
      <c r="E485" s="14">
        <f t="shared" si="167"/>
        <v>499678</v>
      </c>
      <c r="F485" s="14">
        <f t="shared" si="167"/>
        <v>499685</v>
      </c>
      <c r="G485" s="14">
        <f t="shared" si="167"/>
        <v>499691</v>
      </c>
      <c r="H485" s="14">
        <f t="shared" si="167"/>
        <v>499698</v>
      </c>
      <c r="I485" s="14">
        <f t="shared" si="167"/>
        <v>499704</v>
      </c>
      <c r="J485" s="14">
        <f t="shared" si="167"/>
        <v>499711</v>
      </c>
      <c r="K485" s="14">
        <f t="shared" si="167"/>
        <v>499717</v>
      </c>
      <c r="L485" s="14">
        <f t="shared" si="167"/>
        <v>499724</v>
      </c>
      <c r="M485" s="14">
        <f t="shared" si="167"/>
        <v>499730</v>
      </c>
      <c r="N485" s="14">
        <f t="shared" si="167"/>
        <v>499737</v>
      </c>
      <c r="O485" s="14">
        <f t="shared" si="167"/>
        <v>499743</v>
      </c>
      <c r="P485" s="14"/>
      <c r="Q485" s="14"/>
      <c r="R485" s="14"/>
    </row>
    <row r="486" spans="1:18" ht="3.95" customHeight="1"/>
    <row r="487" spans="1:18">
      <c r="A487" s="27" t="s">
        <v>23</v>
      </c>
      <c r="D487" s="14">
        <f t="shared" ref="D487:O487" si="168">D485-C485</f>
        <v>6</v>
      </c>
      <c r="E487" s="14">
        <f t="shared" si="168"/>
        <v>6</v>
      </c>
      <c r="F487" s="14">
        <f t="shared" si="168"/>
        <v>7</v>
      </c>
      <c r="G487" s="14">
        <f t="shared" si="168"/>
        <v>6</v>
      </c>
      <c r="H487" s="14">
        <f t="shared" si="168"/>
        <v>7</v>
      </c>
      <c r="I487" s="14">
        <f t="shared" si="168"/>
        <v>6</v>
      </c>
      <c r="J487" s="14">
        <f t="shared" si="168"/>
        <v>7</v>
      </c>
      <c r="K487" s="14">
        <f t="shared" si="168"/>
        <v>6</v>
      </c>
      <c r="L487" s="14">
        <f t="shared" si="168"/>
        <v>7</v>
      </c>
      <c r="M487" s="14">
        <f t="shared" si="168"/>
        <v>6</v>
      </c>
      <c r="N487" s="14">
        <f t="shared" si="168"/>
        <v>7</v>
      </c>
      <c r="O487" s="14">
        <f t="shared" si="168"/>
        <v>6</v>
      </c>
      <c r="P487" s="14">
        <f>SUM(D487:O487)</f>
        <v>77</v>
      </c>
      <c r="Q487" s="14">
        <f>SUM(Q479:Q484)</f>
        <v>45</v>
      </c>
      <c r="R487" s="14">
        <f>P487-Q487</f>
        <v>32</v>
      </c>
    </row>
    <row r="490" spans="1:18">
      <c r="A490" s="26" t="s">
        <v>163</v>
      </c>
      <c r="D490" s="14">
        <f t="shared" ref="D490:O490" si="169">C500</f>
        <v>1087527</v>
      </c>
      <c r="E490" s="14">
        <f t="shared" si="169"/>
        <v>1107628</v>
      </c>
      <c r="F490" s="14">
        <f t="shared" si="169"/>
        <v>1126280</v>
      </c>
      <c r="G490" s="14">
        <f t="shared" si="169"/>
        <v>1138649</v>
      </c>
      <c r="H490" s="14">
        <f t="shared" si="169"/>
        <v>1141747</v>
      </c>
      <c r="I490" s="14">
        <f t="shared" si="169"/>
        <v>1142736</v>
      </c>
      <c r="J490" s="14">
        <f t="shared" si="169"/>
        <v>1145702</v>
      </c>
      <c r="K490" s="14">
        <f t="shared" si="169"/>
        <v>1147250</v>
      </c>
      <c r="L490" s="14">
        <f t="shared" si="169"/>
        <v>1149724</v>
      </c>
      <c r="M490" s="14">
        <f t="shared" si="169"/>
        <v>1150370</v>
      </c>
      <c r="N490" s="14">
        <f t="shared" si="169"/>
        <v>1149185</v>
      </c>
      <c r="O490" s="14">
        <f t="shared" si="169"/>
        <v>1165536</v>
      </c>
    </row>
    <row r="491" spans="1:18">
      <c r="A491" s="27" t="s">
        <v>610</v>
      </c>
      <c r="B491" s="18" t="s">
        <v>26</v>
      </c>
      <c r="C491" s="14"/>
      <c r="D491" s="187">
        <f>ROUND([1]Source!D56-D492-D493,0)+1</f>
        <v>19635</v>
      </c>
      <c r="E491" s="141">
        <f>ROUND([1]Source!E56-E492-E493,0)</f>
        <v>18785</v>
      </c>
      <c r="F491" s="187">
        <f>ROUND([1]Source!F56-F492-F493,0)-1</f>
        <v>17694</v>
      </c>
      <c r="G491" s="187">
        <f>ROUND([1]Source!G56-G492-G493,0)+4</f>
        <v>3083</v>
      </c>
      <c r="H491" s="187">
        <f>ROUND([1]Source!H56-H492-H493,0)-3</f>
        <v>989</v>
      </c>
      <c r="I491" s="14">
        <f>ROUND([1]Source!I56-I492-I493,0)</f>
        <v>2966</v>
      </c>
      <c r="J491" s="14">
        <f>ROUND([1]Source!J56-J492-J493,0)</f>
        <v>1548</v>
      </c>
      <c r="K491" s="14">
        <f>ROUND([1]Source!K56-K492-K493,0)</f>
        <v>2474</v>
      </c>
      <c r="L491" s="14">
        <f>ROUND([1]Source!L56-L492-L493,0)</f>
        <v>646</v>
      </c>
      <c r="M491" s="14">
        <f>ROUND([1]Source!M56-M492-M493,0)</f>
        <v>-1185</v>
      </c>
      <c r="N491" s="14">
        <f>ROUND([1]Source!N56-N492-N493,0)</f>
        <v>16351</v>
      </c>
      <c r="O491" s="14">
        <f>ROUND([1]Source!O56-O492-O493,0)</f>
        <v>16756</v>
      </c>
      <c r="P491" s="14">
        <f t="shared" ref="P491:P498" si="170">SUM(D491:O491)</f>
        <v>99742</v>
      </c>
      <c r="Q491" s="17">
        <f t="shared" ref="Q491:Q498" si="171">SUM(D491:J491)</f>
        <v>64700</v>
      </c>
      <c r="R491" s="14">
        <f t="shared" ref="R491:R498" si="172">P491-Q491</f>
        <v>35042</v>
      </c>
    </row>
    <row r="492" spans="1:18">
      <c r="A492" s="27" t="s">
        <v>164</v>
      </c>
      <c r="D492" s="17">
        <v>0</v>
      </c>
      <c r="E492" s="17">
        <v>0</v>
      </c>
      <c r="F492" s="17">
        <v>0</v>
      </c>
      <c r="G492" s="17">
        <v>0</v>
      </c>
      <c r="H492" s="17">
        <v>0</v>
      </c>
      <c r="I492" s="17">
        <v>0</v>
      </c>
      <c r="J492" s="17">
        <v>0</v>
      </c>
      <c r="K492" s="17">
        <v>0</v>
      </c>
      <c r="L492" s="17">
        <v>0</v>
      </c>
      <c r="M492" s="17">
        <v>0</v>
      </c>
      <c r="N492" s="17">
        <v>0</v>
      </c>
      <c r="O492" s="17">
        <v>0</v>
      </c>
      <c r="P492" s="14">
        <f t="shared" si="170"/>
        <v>0</v>
      </c>
      <c r="Q492" s="17">
        <f t="shared" si="171"/>
        <v>0</v>
      </c>
      <c r="R492" s="14">
        <f t="shared" si="172"/>
        <v>0</v>
      </c>
    </row>
    <row r="493" spans="1:18">
      <c r="A493" s="27" t="s">
        <v>165</v>
      </c>
      <c r="D493" s="17">
        <v>0</v>
      </c>
      <c r="E493" s="17">
        <v>0</v>
      </c>
      <c r="F493" s="17">
        <v>0</v>
      </c>
      <c r="G493" s="17">
        <v>0</v>
      </c>
      <c r="H493" s="17">
        <v>0</v>
      </c>
      <c r="I493" s="17">
        <v>0</v>
      </c>
      <c r="J493" s="17">
        <v>0</v>
      </c>
      <c r="K493" s="17">
        <v>0</v>
      </c>
      <c r="L493" s="17">
        <v>0</v>
      </c>
      <c r="M493" s="17">
        <v>0</v>
      </c>
      <c r="N493" s="17">
        <v>0</v>
      </c>
      <c r="O493" s="17">
        <v>0</v>
      </c>
      <c r="P493" s="14">
        <f t="shared" si="170"/>
        <v>0</v>
      </c>
      <c r="Q493" s="17">
        <f t="shared" si="171"/>
        <v>0</v>
      </c>
      <c r="R493" s="14">
        <f t="shared" si="172"/>
        <v>0</v>
      </c>
    </row>
    <row r="494" spans="1:18">
      <c r="A494" s="27" t="s">
        <v>595</v>
      </c>
      <c r="B494" s="18"/>
      <c r="C494" s="17">
        <v>0</v>
      </c>
      <c r="D494" s="186">
        <f t="shared" ref="D494:O494" si="173">D140-D455</f>
        <v>466</v>
      </c>
      <c r="E494" s="186">
        <f t="shared" si="173"/>
        <v>-133</v>
      </c>
      <c r="F494" s="186">
        <f t="shared" si="173"/>
        <v>-348</v>
      </c>
      <c r="G494" s="187">
        <f t="shared" si="173"/>
        <v>15</v>
      </c>
      <c r="H494" s="186">
        <f t="shared" si="173"/>
        <v>0</v>
      </c>
      <c r="I494" s="186">
        <f t="shared" si="173"/>
        <v>0</v>
      </c>
      <c r="J494" s="186">
        <f t="shared" si="173"/>
        <v>0</v>
      </c>
      <c r="K494" s="186">
        <f t="shared" si="173"/>
        <v>0</v>
      </c>
      <c r="L494" s="186">
        <f t="shared" si="173"/>
        <v>0</v>
      </c>
      <c r="M494" s="186">
        <f t="shared" si="173"/>
        <v>0</v>
      </c>
      <c r="N494" s="186">
        <f t="shared" si="173"/>
        <v>0</v>
      </c>
      <c r="O494" s="186">
        <f t="shared" si="173"/>
        <v>0</v>
      </c>
      <c r="P494" s="14">
        <f>SUM(D494:O494)</f>
        <v>0</v>
      </c>
      <c r="Q494" s="17">
        <f t="shared" si="171"/>
        <v>0</v>
      </c>
      <c r="R494" s="14">
        <f>P494-Q494</f>
        <v>0</v>
      </c>
    </row>
    <row r="495" spans="1:18">
      <c r="A495" s="27" t="s">
        <v>589</v>
      </c>
      <c r="B495" s="18"/>
      <c r="C495" s="17">
        <v>0</v>
      </c>
      <c r="D495" s="17">
        <v>0</v>
      </c>
      <c r="E495" s="17">
        <v>0</v>
      </c>
      <c r="F495" s="17">
        <v>0</v>
      </c>
      <c r="G495" s="17">
        <v>0</v>
      </c>
      <c r="H495" s="17">
        <v>0</v>
      </c>
      <c r="I495" s="17">
        <v>0</v>
      </c>
      <c r="J495" s="17">
        <v>0</v>
      </c>
      <c r="K495" s="17">
        <v>0</v>
      </c>
      <c r="L495" s="17">
        <v>0</v>
      </c>
      <c r="M495" s="17">
        <v>0</v>
      </c>
      <c r="N495" s="17">
        <v>0</v>
      </c>
      <c r="O495" s="17">
        <v>0</v>
      </c>
      <c r="P495" s="14">
        <f>SUM(D495:O495)</f>
        <v>0</v>
      </c>
      <c r="Q495" s="17">
        <f t="shared" si="171"/>
        <v>0</v>
      </c>
      <c r="R495" s="14">
        <f>P495-Q495</f>
        <v>0</v>
      </c>
    </row>
    <row r="496" spans="1:18">
      <c r="A496" s="27" t="s">
        <v>484</v>
      </c>
      <c r="D496" s="17">
        <v>0</v>
      </c>
      <c r="E496" s="17">
        <v>0</v>
      </c>
      <c r="F496" s="17">
        <v>0</v>
      </c>
      <c r="G496" s="17">
        <v>0</v>
      </c>
      <c r="H496" s="17">
        <v>0</v>
      </c>
      <c r="I496" s="17">
        <v>0</v>
      </c>
      <c r="J496" s="17">
        <v>0</v>
      </c>
      <c r="K496" s="17">
        <v>0</v>
      </c>
      <c r="L496" s="17">
        <v>0</v>
      </c>
      <c r="M496" s="17">
        <v>0</v>
      </c>
      <c r="N496" s="17">
        <v>0</v>
      </c>
      <c r="O496" s="17">
        <v>0</v>
      </c>
      <c r="P496" s="14">
        <f t="shared" si="170"/>
        <v>0</v>
      </c>
      <c r="Q496" s="17">
        <f t="shared" si="171"/>
        <v>0</v>
      </c>
      <c r="R496" s="14">
        <f t="shared" si="172"/>
        <v>0</v>
      </c>
    </row>
    <row r="497" spans="1:18">
      <c r="A497" s="27" t="s">
        <v>492</v>
      </c>
      <c r="C497" s="17">
        <f>2453+(10000+1+1500)+22442</f>
        <v>36396</v>
      </c>
      <c r="D497" s="17">
        <v>0</v>
      </c>
      <c r="E497" s="17">
        <v>0</v>
      </c>
      <c r="F497" s="17">
        <v>0</v>
      </c>
      <c r="G497" s="17">
        <v>0</v>
      </c>
      <c r="H497" s="17">
        <v>0</v>
      </c>
      <c r="I497" s="17">
        <v>0</v>
      </c>
      <c r="J497" s="17">
        <v>0</v>
      </c>
      <c r="K497" s="17">
        <v>0</v>
      </c>
      <c r="L497" s="17">
        <v>0</v>
      </c>
      <c r="M497" s="17">
        <v>0</v>
      </c>
      <c r="N497" s="17">
        <v>0</v>
      </c>
      <c r="O497" s="17">
        <v>0</v>
      </c>
      <c r="P497" s="14">
        <f t="shared" si="170"/>
        <v>0</v>
      </c>
      <c r="Q497" s="17">
        <f t="shared" si="171"/>
        <v>0</v>
      </c>
      <c r="R497" s="14">
        <f t="shared" si="172"/>
        <v>0</v>
      </c>
    </row>
    <row r="498" spans="1:18">
      <c r="A498" s="27" t="s">
        <v>606</v>
      </c>
      <c r="C498" s="25">
        <v>0</v>
      </c>
      <c r="D498" s="25">
        <v>0</v>
      </c>
      <c r="E498" s="25">
        <v>0</v>
      </c>
      <c r="F498" s="25">
        <f>-4967-10</f>
        <v>-4977</v>
      </c>
      <c r="G498" s="25">
        <v>0</v>
      </c>
      <c r="H498" s="25">
        <v>0</v>
      </c>
      <c r="I498" s="25">
        <v>0</v>
      </c>
      <c r="J498" s="25">
        <v>0</v>
      </c>
      <c r="K498" s="25">
        <v>0</v>
      </c>
      <c r="L498" s="25">
        <v>0</v>
      </c>
      <c r="M498" s="25">
        <v>0</v>
      </c>
      <c r="N498" s="25">
        <v>0</v>
      </c>
      <c r="O498" s="25">
        <v>0</v>
      </c>
      <c r="P498" s="16">
        <f t="shared" si="170"/>
        <v>-4977</v>
      </c>
      <c r="Q498" s="25">
        <f t="shared" si="171"/>
        <v>-4977</v>
      </c>
      <c r="R498" s="16">
        <f t="shared" si="172"/>
        <v>0</v>
      </c>
    </row>
    <row r="499" spans="1:18" ht="3.95" customHeight="1"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</row>
    <row r="500" spans="1:18">
      <c r="A500" s="26" t="s">
        <v>166</v>
      </c>
      <c r="C500" s="17">
        <v>1087527</v>
      </c>
      <c r="D500" s="14">
        <f t="shared" ref="D500:O500" si="174">SUM(D490:D499)</f>
        <v>1107628</v>
      </c>
      <c r="E500" s="14">
        <f t="shared" si="174"/>
        <v>1126280</v>
      </c>
      <c r="F500" s="14">
        <f t="shared" si="174"/>
        <v>1138649</v>
      </c>
      <c r="G500" s="14">
        <f t="shared" si="174"/>
        <v>1141747</v>
      </c>
      <c r="H500" s="14">
        <f t="shared" si="174"/>
        <v>1142736</v>
      </c>
      <c r="I500" s="14">
        <f t="shared" si="174"/>
        <v>1145702</v>
      </c>
      <c r="J500" s="14">
        <f t="shared" si="174"/>
        <v>1147250</v>
      </c>
      <c r="K500" s="14">
        <f t="shared" si="174"/>
        <v>1149724</v>
      </c>
      <c r="L500" s="14">
        <f t="shared" si="174"/>
        <v>1150370</v>
      </c>
      <c r="M500" s="14">
        <f t="shared" si="174"/>
        <v>1149185</v>
      </c>
      <c r="N500" s="14">
        <f t="shared" si="174"/>
        <v>1165536</v>
      </c>
      <c r="O500" s="14">
        <f t="shared" si="174"/>
        <v>1182292</v>
      </c>
      <c r="P500" s="14"/>
      <c r="Q500" s="14"/>
      <c r="R500" s="14"/>
    </row>
    <row r="501" spans="1:18" ht="3.95" customHeight="1"/>
    <row r="502" spans="1:18">
      <c r="A502" s="27" t="s">
        <v>23</v>
      </c>
      <c r="D502" s="14">
        <f t="shared" ref="D502:O502" si="175">D500-C500</f>
        <v>20101</v>
      </c>
      <c r="E502" s="14">
        <f t="shared" si="175"/>
        <v>18652</v>
      </c>
      <c r="F502" s="14">
        <f t="shared" si="175"/>
        <v>12369</v>
      </c>
      <c r="G502" s="14">
        <f t="shared" si="175"/>
        <v>3098</v>
      </c>
      <c r="H502" s="14">
        <f t="shared" si="175"/>
        <v>989</v>
      </c>
      <c r="I502" s="14">
        <f t="shared" si="175"/>
        <v>2966</v>
      </c>
      <c r="J502" s="14">
        <f t="shared" si="175"/>
        <v>1548</v>
      </c>
      <c r="K502" s="14">
        <f t="shared" si="175"/>
        <v>2474</v>
      </c>
      <c r="L502" s="14">
        <f t="shared" si="175"/>
        <v>646</v>
      </c>
      <c r="M502" s="14">
        <f t="shared" si="175"/>
        <v>-1185</v>
      </c>
      <c r="N502" s="14">
        <f t="shared" si="175"/>
        <v>16351</v>
      </c>
      <c r="O502" s="14">
        <f t="shared" si="175"/>
        <v>16756</v>
      </c>
      <c r="P502" s="14">
        <f>SUM(D502:O502)</f>
        <v>94765</v>
      </c>
      <c r="Q502" s="14">
        <f>SUM(Q491:Q499)</f>
        <v>59723</v>
      </c>
      <c r="R502" s="14">
        <f>P502-Q502</f>
        <v>35042</v>
      </c>
    </row>
    <row r="504" spans="1:18">
      <c r="A504" s="7" t="s">
        <v>167</v>
      </c>
      <c r="C504" s="20">
        <f t="shared" ref="C504:O504" si="176">C299+C317+C333+C341+C366+C376+C386+C396+C416+C427+C436+C448+C458+C485+C500</f>
        <v>2056033</v>
      </c>
      <c r="D504" s="20">
        <f t="shared" si="176"/>
        <v>2144174</v>
      </c>
      <c r="E504" s="20">
        <f t="shared" si="176"/>
        <v>2117619</v>
      </c>
      <c r="F504" s="20">
        <f t="shared" si="176"/>
        <v>2119251</v>
      </c>
      <c r="G504" s="20">
        <f t="shared" si="176"/>
        <v>2139763</v>
      </c>
      <c r="H504" s="20">
        <f t="shared" si="176"/>
        <v>2113806</v>
      </c>
      <c r="I504" s="20">
        <f t="shared" si="176"/>
        <v>2098426</v>
      </c>
      <c r="J504" s="20">
        <f t="shared" si="176"/>
        <v>2085765</v>
      </c>
      <c r="K504" s="20">
        <f t="shared" si="176"/>
        <v>2099792</v>
      </c>
      <c r="L504" s="20">
        <f t="shared" si="176"/>
        <v>2101658</v>
      </c>
      <c r="M504" s="20">
        <f t="shared" si="176"/>
        <v>2088443</v>
      </c>
      <c r="N504" s="20">
        <f t="shared" si="176"/>
        <v>2099313</v>
      </c>
      <c r="O504" s="20">
        <f t="shared" si="176"/>
        <v>2096348</v>
      </c>
    </row>
    <row r="506" spans="1:18">
      <c r="A506" s="27" t="s">
        <v>103</v>
      </c>
      <c r="D506" s="14">
        <f t="shared" ref="D506:O506" si="177">D504-C504</f>
        <v>88141</v>
      </c>
      <c r="E506" s="14">
        <f t="shared" si="177"/>
        <v>-26555</v>
      </c>
      <c r="F506" s="14">
        <f t="shared" si="177"/>
        <v>1632</v>
      </c>
      <c r="G506" s="14">
        <f t="shared" si="177"/>
        <v>20512</v>
      </c>
      <c r="H506" s="14">
        <f t="shared" si="177"/>
        <v>-25957</v>
      </c>
      <c r="I506" s="14">
        <f t="shared" si="177"/>
        <v>-15380</v>
      </c>
      <c r="J506" s="14">
        <f t="shared" si="177"/>
        <v>-12661</v>
      </c>
      <c r="K506" s="14">
        <f t="shared" si="177"/>
        <v>14027</v>
      </c>
      <c r="L506" s="14">
        <f t="shared" si="177"/>
        <v>1866</v>
      </c>
      <c r="M506" s="14">
        <f t="shared" si="177"/>
        <v>-13215</v>
      </c>
      <c r="N506" s="14">
        <f t="shared" si="177"/>
        <v>10870</v>
      </c>
      <c r="O506" s="14">
        <f t="shared" si="177"/>
        <v>-2965</v>
      </c>
      <c r="P506" s="14">
        <f>SUM(D506:O506)</f>
        <v>40315</v>
      </c>
      <c r="Q506" s="17">
        <f>SUM(D506:J506)</f>
        <v>29732</v>
      </c>
      <c r="R506" s="14">
        <f>P506-Q506</f>
        <v>10583</v>
      </c>
    </row>
    <row r="509" spans="1:18">
      <c r="A509" s="27" t="s">
        <v>168</v>
      </c>
      <c r="C509" s="14">
        <f t="shared" ref="C509:O509" si="178">C272-C504</f>
        <v>0</v>
      </c>
      <c r="D509" s="14">
        <f t="shared" si="178"/>
        <v>0</v>
      </c>
      <c r="E509" s="14">
        <f t="shared" si="178"/>
        <v>0</v>
      </c>
      <c r="F509" s="14">
        <f t="shared" si="178"/>
        <v>0</v>
      </c>
      <c r="G509" s="14">
        <f t="shared" si="178"/>
        <v>0</v>
      </c>
      <c r="H509" s="14">
        <f t="shared" si="178"/>
        <v>0</v>
      </c>
      <c r="I509" s="14">
        <f t="shared" si="178"/>
        <v>0</v>
      </c>
      <c r="J509" s="14">
        <f t="shared" si="178"/>
        <v>0</v>
      </c>
      <c r="K509" s="14">
        <f t="shared" si="178"/>
        <v>0</v>
      </c>
      <c r="L509" s="14">
        <f t="shared" si="178"/>
        <v>0</v>
      </c>
      <c r="M509" s="14">
        <f t="shared" si="178"/>
        <v>0</v>
      </c>
      <c r="N509" s="14">
        <f t="shared" si="178"/>
        <v>0</v>
      </c>
      <c r="O509" s="14">
        <f t="shared" si="178"/>
        <v>0</v>
      </c>
      <c r="P509" s="14"/>
      <c r="Q509" s="14"/>
      <c r="R509" s="14"/>
    </row>
    <row r="510" spans="1:18">
      <c r="A510" s="27" t="s">
        <v>169</v>
      </c>
      <c r="D510" s="14">
        <f t="shared" ref="D510:O510" si="179">D509-C509</f>
        <v>0</v>
      </c>
      <c r="E510" s="14">
        <f t="shared" si="179"/>
        <v>0</v>
      </c>
      <c r="F510" s="14">
        <f t="shared" si="179"/>
        <v>0</v>
      </c>
      <c r="G510" s="14">
        <f t="shared" si="179"/>
        <v>0</v>
      </c>
      <c r="H510" s="14">
        <f t="shared" si="179"/>
        <v>0</v>
      </c>
      <c r="I510" s="14">
        <f t="shared" si="179"/>
        <v>0</v>
      </c>
      <c r="J510" s="14">
        <f t="shared" si="179"/>
        <v>0</v>
      </c>
      <c r="K510" s="14">
        <f t="shared" si="179"/>
        <v>0</v>
      </c>
      <c r="L510" s="14">
        <f t="shared" si="179"/>
        <v>0</v>
      </c>
      <c r="M510" s="14">
        <f t="shared" si="179"/>
        <v>0</v>
      </c>
      <c r="N510" s="14">
        <f t="shared" si="179"/>
        <v>0</v>
      </c>
      <c r="O510" s="14">
        <f t="shared" si="179"/>
        <v>0</v>
      </c>
      <c r="P510" s="14">
        <f>SUM(D510:O510)</f>
        <v>0</v>
      </c>
    </row>
    <row r="511" spans="1:18" ht="8.1" customHeight="1"/>
    <row r="515" spans="3:4">
      <c r="C515" s="15" t="s">
        <v>170</v>
      </c>
      <c r="D515" s="15" t="s">
        <v>171</v>
      </c>
    </row>
    <row r="516" spans="3:4">
      <c r="D516" s="15" t="s">
        <v>172</v>
      </c>
    </row>
    <row r="517" spans="3:4">
      <c r="D517" s="15" t="s">
        <v>173</v>
      </c>
    </row>
    <row r="518" spans="3:4">
      <c r="D518" s="15" t="s">
        <v>174</v>
      </c>
    </row>
    <row r="519" spans="3:4">
      <c r="D519" s="15" t="s">
        <v>175</v>
      </c>
    </row>
    <row r="520" spans="3:4">
      <c r="D520" s="15" t="s">
        <v>176</v>
      </c>
    </row>
    <row r="521" spans="3:4">
      <c r="D521" s="15" t="s">
        <v>177</v>
      </c>
    </row>
    <row r="522" spans="3:4">
      <c r="D522" s="15" t="s">
        <v>178</v>
      </c>
    </row>
    <row r="523" spans="3:4">
      <c r="D523" s="15" t="s">
        <v>179</v>
      </c>
    </row>
    <row r="545" spans="3:4">
      <c r="D545" s="14"/>
    </row>
    <row r="553" spans="3:4">
      <c r="C553" s="14"/>
      <c r="D553" s="14"/>
    </row>
  </sheetData>
  <phoneticPr fontId="0" type="noConversion"/>
  <printOptions gridLinesSet="0"/>
  <pageMargins left="0.25" right="0.25" top="0.25" bottom="0.25" header="0.5" footer="0.5"/>
  <pageSetup paperSize="5" scale="7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PrintAllPages">
                <anchor moveWithCells="1" sizeWithCells="1">
                  <from>
                    <xdr:col>0</xdr:col>
                    <xdr:colOff>590550</xdr:colOff>
                    <xdr:row>4</xdr:row>
                    <xdr:rowOff>0</xdr:rowOff>
                  </from>
                  <to>
                    <xdr:col>0</xdr:col>
                    <xdr:colOff>1666875</xdr:colOff>
                    <xdr:row>7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/>
  <dimension ref="A1:CP239"/>
  <sheetViews>
    <sheetView showGridLines="0" workbookViewId="0"/>
  </sheetViews>
  <sheetFormatPr defaultColWidth="10.7109375" defaultRowHeight="12.75"/>
  <cols>
    <col min="1" max="1" width="4.7109375" style="1" customWidth="1"/>
    <col min="2" max="2" width="45.7109375" style="1" customWidth="1"/>
    <col min="3" max="16" width="9.7109375" style="1" customWidth="1"/>
    <col min="17" max="26" width="1.7109375" style="1" customWidth="1"/>
    <col min="27" max="27" width="4.7109375" style="1" customWidth="1"/>
    <col min="28" max="28" width="45.7109375" style="1" customWidth="1"/>
    <col min="29" max="42" width="9.7109375" style="1" customWidth="1"/>
    <col min="43" max="52" width="1.7109375" style="1" customWidth="1"/>
    <col min="53" max="53" width="4.7109375" style="1" customWidth="1"/>
    <col min="54" max="54" width="45.7109375" style="1" customWidth="1"/>
    <col min="55" max="67" width="9.7109375" style="1" customWidth="1"/>
    <col min="68" max="78" width="1.7109375" style="1" customWidth="1"/>
    <col min="79" max="79" width="4.7109375" style="1" customWidth="1"/>
    <col min="80" max="80" width="43.7109375" style="1" customWidth="1"/>
    <col min="81" max="94" width="9.7109375" style="1" customWidth="1"/>
    <col min="95" max="16384" width="10.7109375" style="1"/>
  </cols>
  <sheetData>
    <row r="1" spans="1:94" ht="12" customHeight="1">
      <c r="A1" s="148" t="str">
        <f ca="1">BACKUP!A1</f>
        <v>C:\Users\Felienne\Enron\EnronSpreadsheets\[tracy_geaccone__40393__NNG3rdCECF.xls]BACKUP</v>
      </c>
      <c r="B1" s="29"/>
      <c r="C1" s="29"/>
      <c r="D1" s="29"/>
      <c r="E1" s="29"/>
      <c r="F1" s="152" t="str">
        <f>BACKUP!F1</f>
        <v>NORTHERN NATURAL GAS GROUP</v>
      </c>
      <c r="G1" s="152"/>
      <c r="H1" s="152"/>
      <c r="I1" s="152"/>
      <c r="J1" s="29"/>
      <c r="K1" s="29"/>
      <c r="L1" s="29"/>
      <c r="M1" s="29"/>
      <c r="N1" s="29"/>
      <c r="O1" s="31">
        <f ca="1">NOW()</f>
        <v>41887.551206018521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3" t="str">
        <f ca="1">A1</f>
        <v>C:\Users\Felienne\Enron\EnronSpreadsheets\[tracy_geaccone__40393__NNG3rdCECF.xls]BACKUP</v>
      </c>
      <c r="AB1" s="29"/>
      <c r="AC1" s="29"/>
      <c r="AD1" s="29"/>
      <c r="AE1" s="182" t="s">
        <v>597</v>
      </c>
      <c r="AF1" s="203"/>
      <c r="AG1" s="152"/>
      <c r="AH1" s="152"/>
      <c r="AI1" s="152"/>
      <c r="AJ1" s="152"/>
      <c r="AK1" s="29"/>
      <c r="AL1" s="29"/>
      <c r="AM1" s="29"/>
      <c r="AN1" s="29"/>
      <c r="AO1" s="31">
        <f ca="1">NOW()</f>
        <v>41887.551206018521</v>
      </c>
      <c r="AP1" s="32"/>
      <c r="AQ1" s="34"/>
      <c r="AR1" s="32"/>
      <c r="BA1" s="33" t="str">
        <f ca="1">A1</f>
        <v>C:\Users\Felienne\Enron\EnronSpreadsheets\[tracy_geaccone__40393__NNG3rdCECF.xls]BACKUP</v>
      </c>
      <c r="BF1" s="182" t="s">
        <v>596</v>
      </c>
      <c r="BG1" s="152"/>
      <c r="BH1" s="152"/>
      <c r="BI1" s="152"/>
      <c r="BO1" s="31">
        <f ca="1">NOW()</f>
        <v>41887.551206018521</v>
      </c>
      <c r="CA1" s="33" t="str">
        <f ca="1">A1</f>
        <v>C:\Users\Felienne\Enron\EnronSpreadsheets\[tracy_geaccone__40393__NNG3rdCECF.xls]BACKUP</v>
      </c>
      <c r="CB1" s="29"/>
      <c r="CC1" s="29"/>
      <c r="CD1" s="29"/>
      <c r="CE1" s="29"/>
      <c r="CF1" s="182" t="s">
        <v>598</v>
      </c>
      <c r="CG1" s="152"/>
      <c r="CH1" s="152"/>
      <c r="CI1" s="152"/>
      <c r="CJ1" s="29"/>
      <c r="CK1" s="29"/>
      <c r="CL1" s="29"/>
      <c r="CM1" s="29"/>
      <c r="CN1" s="29"/>
      <c r="CO1" s="31">
        <f ca="1">NOW()</f>
        <v>41887.551206018521</v>
      </c>
      <c r="CP1" s="32"/>
    </row>
    <row r="2" spans="1:94" ht="12" customHeight="1">
      <c r="A2" s="35"/>
      <c r="B2" s="29"/>
      <c r="C2" s="29"/>
      <c r="D2" s="29"/>
      <c r="E2" s="29"/>
      <c r="F2" s="153" t="s">
        <v>180</v>
      </c>
      <c r="G2" s="152"/>
      <c r="H2" s="152"/>
      <c r="I2" s="152"/>
      <c r="J2" s="29"/>
      <c r="K2" s="29"/>
      <c r="L2" s="29"/>
      <c r="M2" s="29"/>
      <c r="N2" s="29"/>
      <c r="O2" s="36">
        <f ca="1">NOW()</f>
        <v>41887.551206018521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196" t="s">
        <v>495</v>
      </c>
      <c r="AB2" s="29"/>
      <c r="AC2" s="29"/>
      <c r="AD2" s="29"/>
      <c r="AE2" s="29"/>
      <c r="AF2" s="152" t="str">
        <f>F2</f>
        <v>BALANCE SHEET</v>
      </c>
      <c r="AG2" s="152"/>
      <c r="AH2" s="152"/>
      <c r="AI2" s="152"/>
      <c r="AJ2" s="29"/>
      <c r="AK2" s="29"/>
      <c r="AL2" s="29"/>
      <c r="AM2" s="29"/>
      <c r="AN2" s="29"/>
      <c r="AO2" s="36">
        <f ca="1">NOW()</f>
        <v>41887.551206018521</v>
      </c>
      <c r="AP2" s="32"/>
      <c r="AQ2" s="37"/>
      <c r="AR2" s="32"/>
      <c r="BA2" s="196" t="s">
        <v>495</v>
      </c>
      <c r="BF2" s="152" t="str">
        <f>F2</f>
        <v>BALANCE SHEET</v>
      </c>
      <c r="BG2" s="152"/>
      <c r="BH2" s="152"/>
      <c r="BI2" s="152"/>
      <c r="BO2" s="36">
        <f ca="1">NOW()</f>
        <v>41887.551206018521</v>
      </c>
      <c r="CA2" s="196" t="s">
        <v>495</v>
      </c>
      <c r="CB2" s="29"/>
      <c r="CC2" s="29"/>
      <c r="CD2" s="29"/>
      <c r="CE2" s="29"/>
      <c r="CF2" s="152" t="str">
        <f>F2</f>
        <v>BALANCE SHEET</v>
      </c>
      <c r="CG2" s="152"/>
      <c r="CH2" s="152"/>
      <c r="CI2" s="152"/>
      <c r="CJ2" s="29"/>
      <c r="CK2" s="29"/>
      <c r="CL2" s="29"/>
      <c r="CM2" s="29"/>
      <c r="CN2" s="29"/>
      <c r="CO2" s="36">
        <f ca="1">NOW()</f>
        <v>41887.551206018521</v>
      </c>
      <c r="CP2" s="32"/>
    </row>
    <row r="3" spans="1:94" ht="12" customHeight="1">
      <c r="A3" s="38"/>
      <c r="B3" s="29"/>
      <c r="C3" s="29"/>
      <c r="D3" s="29"/>
      <c r="E3" s="29"/>
      <c r="F3" s="152" t="str">
        <f>BACKUP!F3</f>
        <v>2001 ACTUAL / ESTIMATE</v>
      </c>
      <c r="G3" s="152"/>
      <c r="H3" s="152"/>
      <c r="I3" s="152"/>
      <c r="J3" s="29"/>
      <c r="K3" s="29"/>
      <c r="L3" s="29"/>
      <c r="M3" s="29"/>
      <c r="N3" s="29"/>
      <c r="O3" s="29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8"/>
      <c r="AB3" s="29"/>
      <c r="AC3" s="29"/>
      <c r="AD3" s="29"/>
      <c r="AE3" s="29"/>
      <c r="AF3" s="152" t="str">
        <f>F3</f>
        <v>2001 ACTUAL / ESTIMATE</v>
      </c>
      <c r="AG3" s="152"/>
      <c r="AH3" s="152"/>
      <c r="AI3" s="152"/>
      <c r="AJ3" s="29"/>
      <c r="AK3" s="29"/>
      <c r="AL3" s="29"/>
      <c r="AM3" s="29"/>
      <c r="AN3" s="29"/>
      <c r="AO3" s="29"/>
      <c r="AP3" s="32"/>
      <c r="AQ3" s="32"/>
      <c r="AR3" s="32"/>
      <c r="BF3" s="152" t="str">
        <f>F3</f>
        <v>2001 ACTUAL / ESTIMATE</v>
      </c>
      <c r="BG3" s="152"/>
      <c r="BH3" s="152"/>
      <c r="BI3" s="152"/>
      <c r="CA3" s="38"/>
      <c r="CB3" s="29"/>
      <c r="CC3" s="29"/>
      <c r="CD3" s="29"/>
      <c r="CE3" s="29"/>
      <c r="CF3" s="152" t="str">
        <f>F3</f>
        <v>2001 ACTUAL / ESTIMATE</v>
      </c>
      <c r="CG3" s="152"/>
      <c r="CH3" s="152"/>
      <c r="CI3" s="152"/>
      <c r="CJ3" s="29"/>
      <c r="CK3" s="29"/>
      <c r="CL3" s="29"/>
      <c r="CM3" s="29"/>
      <c r="CN3" s="29"/>
      <c r="CO3" s="29"/>
      <c r="CP3" s="32"/>
    </row>
    <row r="4" spans="1:94" ht="12" customHeight="1">
      <c r="A4" s="29"/>
      <c r="B4" s="29"/>
      <c r="C4" s="29"/>
      <c r="D4" s="29"/>
      <c r="E4" s="29"/>
      <c r="F4" s="152" t="str">
        <f>BACKUP!F4</f>
        <v>(Thousands of Dollars)</v>
      </c>
      <c r="G4" s="152"/>
      <c r="H4" s="152"/>
      <c r="I4" s="152"/>
      <c r="J4" s="29"/>
      <c r="K4" s="29"/>
      <c r="L4" s="29"/>
      <c r="M4" s="29"/>
      <c r="N4" s="29"/>
      <c r="O4" s="29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29"/>
      <c r="AB4" s="29"/>
      <c r="AC4" s="29"/>
      <c r="AD4" s="29"/>
      <c r="AE4" s="29"/>
      <c r="AF4" s="152" t="str">
        <f>F4</f>
        <v>(Thousands of Dollars)</v>
      </c>
      <c r="AG4" s="152"/>
      <c r="AH4" s="152"/>
      <c r="AI4" s="152"/>
      <c r="AJ4" s="29"/>
      <c r="AK4" s="29"/>
      <c r="AL4" s="29"/>
      <c r="AM4" s="29"/>
      <c r="AN4" s="29"/>
      <c r="AO4" s="29"/>
      <c r="AP4" s="32"/>
      <c r="AQ4" s="32"/>
      <c r="AR4" s="32"/>
      <c r="BF4" s="152" t="str">
        <f>F4</f>
        <v>(Thousands of Dollars)</v>
      </c>
      <c r="BG4" s="152"/>
      <c r="BH4" s="152"/>
      <c r="BI4" s="152"/>
      <c r="CA4" s="29"/>
      <c r="CB4" s="29"/>
      <c r="CC4" s="29"/>
      <c r="CD4" s="29"/>
      <c r="CE4" s="29"/>
      <c r="CF4" s="152" t="str">
        <f>F4</f>
        <v>(Thousands of Dollars)</v>
      </c>
      <c r="CG4" s="152"/>
      <c r="CH4" s="152"/>
      <c r="CI4" s="152"/>
      <c r="CJ4" s="29"/>
      <c r="CK4" s="29"/>
      <c r="CL4" s="29"/>
      <c r="CM4" s="29"/>
      <c r="CN4" s="29"/>
      <c r="CO4" s="29"/>
      <c r="CP4" s="32"/>
    </row>
    <row r="5" spans="1:94" ht="12" customHeight="1">
      <c r="A5" s="29"/>
      <c r="B5" s="29"/>
      <c r="C5" s="3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29"/>
      <c r="AB5" s="29"/>
      <c r="AC5" s="3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32"/>
      <c r="AQ5" s="32"/>
      <c r="AR5" s="32"/>
      <c r="CA5" s="29"/>
      <c r="CB5" s="29"/>
      <c r="CC5" s="3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32"/>
    </row>
    <row r="6" spans="1:94" ht="12" customHeight="1">
      <c r="A6" s="29"/>
      <c r="B6" s="29"/>
      <c r="C6" s="149">
        <f>BACKUP!C5</f>
        <v>0</v>
      </c>
      <c r="D6" s="149"/>
      <c r="E6"/>
      <c r="F6"/>
      <c r="G6"/>
      <c r="H6"/>
      <c r="I6" s="174"/>
      <c r="J6" s="39"/>
      <c r="K6" s="29"/>
      <c r="L6" s="29"/>
      <c r="M6" s="29"/>
      <c r="N6" s="29"/>
      <c r="O6" s="29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29"/>
      <c r="AB6" s="29"/>
      <c r="AC6" s="40">
        <f>C6</f>
        <v>0</v>
      </c>
      <c r="AD6" s="29"/>
      <c r="AE6" s="29"/>
      <c r="AF6" s="39"/>
      <c r="AG6" s="39"/>
      <c r="AH6" s="29"/>
      <c r="AI6" s="29"/>
      <c r="AJ6" s="29"/>
      <c r="AK6" s="29"/>
      <c r="AL6" s="29"/>
      <c r="AM6" s="29"/>
      <c r="AN6" s="29"/>
      <c r="AO6" s="29"/>
      <c r="AP6" s="32"/>
      <c r="AQ6" s="32"/>
      <c r="AR6" s="32"/>
      <c r="BC6" s="233">
        <f>C6</f>
        <v>0</v>
      </c>
      <c r="CA6" s="29"/>
      <c r="CB6" s="29"/>
      <c r="CC6" s="39"/>
      <c r="CD6" s="29"/>
      <c r="CE6" s="29"/>
      <c r="CF6" s="39"/>
      <c r="CG6" s="39"/>
      <c r="CH6" s="29"/>
      <c r="CI6" s="29"/>
      <c r="CJ6" s="29"/>
      <c r="CK6" s="29"/>
      <c r="CL6" s="29"/>
      <c r="CM6" s="29"/>
      <c r="CN6" s="29"/>
      <c r="CO6" s="29"/>
      <c r="CP6" s="32"/>
    </row>
    <row r="7" spans="1:94" ht="12" customHeight="1">
      <c r="A7" s="29"/>
      <c r="B7" s="29"/>
      <c r="C7" s="149" t="str">
        <f>BACKUP!C6</f>
        <v>ACTUAL</v>
      </c>
      <c r="D7" s="149" t="str">
        <f>BACKUP!D7</f>
        <v>ACT.</v>
      </c>
      <c r="E7" s="149" t="str">
        <f>BACKUP!E7</f>
        <v>ACT.</v>
      </c>
      <c r="F7" s="149" t="str">
        <f>BACKUP!F7</f>
        <v>ACT.</v>
      </c>
      <c r="G7" s="149" t="str">
        <f>BACKUP!G7</f>
        <v>ACT.</v>
      </c>
      <c r="H7" s="149" t="str">
        <f>BACKUP!H7</f>
        <v>ACT.</v>
      </c>
      <c r="I7" s="149" t="str">
        <f>BACKUP!I7</f>
        <v>ACT.</v>
      </c>
      <c r="J7" s="149" t="str">
        <f>BACKUP!J7</f>
        <v>ACT.</v>
      </c>
      <c r="K7" s="149" t="str">
        <f>BACKUP!K7</f>
        <v>ACT.</v>
      </c>
      <c r="L7" s="149" t="str">
        <f>BACKUP!L7</f>
        <v>3rd CE</v>
      </c>
      <c r="M7" s="149" t="str">
        <f>BACKUP!M7</f>
        <v>3rd CE</v>
      </c>
      <c r="N7" s="149" t="str">
        <f>BACKUP!N7</f>
        <v>3rd CE</v>
      </c>
      <c r="O7" s="149" t="str">
        <f>BACKUP!O7</f>
        <v>3rd CE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29"/>
      <c r="AB7" s="29"/>
      <c r="AC7" s="40" t="str">
        <f>C7</f>
        <v>ACTUAL</v>
      </c>
      <c r="AD7" s="40" t="str">
        <f t="shared" ref="AD7:AO9" si="0">D7</f>
        <v>ACT.</v>
      </c>
      <c r="AE7" s="40" t="str">
        <f t="shared" si="0"/>
        <v>ACT.</v>
      </c>
      <c r="AF7" s="40" t="str">
        <f t="shared" si="0"/>
        <v>ACT.</v>
      </c>
      <c r="AG7" s="40" t="str">
        <f t="shared" si="0"/>
        <v>ACT.</v>
      </c>
      <c r="AH7" s="40" t="str">
        <f t="shared" si="0"/>
        <v>ACT.</v>
      </c>
      <c r="AI7" s="40" t="str">
        <f t="shared" si="0"/>
        <v>ACT.</v>
      </c>
      <c r="AJ7" s="40" t="str">
        <f t="shared" si="0"/>
        <v>ACT.</v>
      </c>
      <c r="AK7" s="40" t="str">
        <f t="shared" si="0"/>
        <v>ACT.</v>
      </c>
      <c r="AL7" s="40" t="str">
        <f t="shared" si="0"/>
        <v>3rd CE</v>
      </c>
      <c r="AM7" s="40" t="str">
        <f t="shared" si="0"/>
        <v>3rd CE</v>
      </c>
      <c r="AN7" s="40" t="str">
        <f t="shared" si="0"/>
        <v>3rd CE</v>
      </c>
      <c r="AO7" s="40" t="str">
        <f t="shared" si="0"/>
        <v>3rd CE</v>
      </c>
      <c r="AP7" s="32"/>
      <c r="AQ7" s="32"/>
      <c r="AR7" s="32"/>
      <c r="BC7" s="233" t="str">
        <f>C7</f>
        <v>ACTUAL</v>
      </c>
      <c r="BD7" s="233" t="str">
        <f t="shared" ref="BD7:BO9" si="1">D7</f>
        <v>ACT.</v>
      </c>
      <c r="BE7" s="233" t="str">
        <f t="shared" si="1"/>
        <v>ACT.</v>
      </c>
      <c r="BF7" s="233" t="str">
        <f t="shared" si="1"/>
        <v>ACT.</v>
      </c>
      <c r="BG7" s="233" t="str">
        <f t="shared" si="1"/>
        <v>ACT.</v>
      </c>
      <c r="BH7" s="233" t="str">
        <f t="shared" si="1"/>
        <v>ACT.</v>
      </c>
      <c r="BI7" s="233" t="str">
        <f t="shared" si="1"/>
        <v>ACT.</v>
      </c>
      <c r="BJ7" s="233" t="str">
        <f t="shared" si="1"/>
        <v>ACT.</v>
      </c>
      <c r="BK7" s="233" t="str">
        <f t="shared" si="1"/>
        <v>ACT.</v>
      </c>
      <c r="BL7" s="233" t="str">
        <f t="shared" si="1"/>
        <v>3rd CE</v>
      </c>
      <c r="BM7" s="233" t="str">
        <f t="shared" si="1"/>
        <v>3rd CE</v>
      </c>
      <c r="BN7" s="233" t="str">
        <f t="shared" si="1"/>
        <v>3rd CE</v>
      </c>
      <c r="BO7" s="233" t="str">
        <f t="shared" si="1"/>
        <v>3rd CE</v>
      </c>
      <c r="CA7" s="29"/>
      <c r="CB7" s="29"/>
      <c r="CC7" s="40" t="str">
        <f>C7</f>
        <v>ACTUAL</v>
      </c>
      <c r="CD7" s="40" t="str">
        <f t="shared" ref="CD7:CO9" si="2">D7</f>
        <v>ACT.</v>
      </c>
      <c r="CE7" s="40" t="str">
        <f t="shared" si="2"/>
        <v>ACT.</v>
      </c>
      <c r="CF7" s="40" t="str">
        <f t="shared" si="2"/>
        <v>ACT.</v>
      </c>
      <c r="CG7" s="40" t="str">
        <f t="shared" si="2"/>
        <v>ACT.</v>
      </c>
      <c r="CH7" s="40" t="str">
        <f t="shared" si="2"/>
        <v>ACT.</v>
      </c>
      <c r="CI7" s="40" t="str">
        <f t="shared" si="2"/>
        <v>ACT.</v>
      </c>
      <c r="CJ7" s="40" t="str">
        <f t="shared" si="2"/>
        <v>ACT.</v>
      </c>
      <c r="CK7" s="40" t="str">
        <f t="shared" si="2"/>
        <v>ACT.</v>
      </c>
      <c r="CL7" s="40" t="str">
        <f t="shared" si="2"/>
        <v>3rd CE</v>
      </c>
      <c r="CM7" s="40" t="str">
        <f t="shared" si="2"/>
        <v>3rd CE</v>
      </c>
      <c r="CN7" s="40" t="str">
        <f t="shared" si="2"/>
        <v>3rd CE</v>
      </c>
      <c r="CO7" s="40" t="str">
        <f t="shared" si="2"/>
        <v>3rd CE</v>
      </c>
      <c r="CP7" s="32"/>
    </row>
    <row r="8" spans="1:94" ht="12" customHeight="1">
      <c r="A8" s="29"/>
      <c r="B8" s="29"/>
      <c r="C8" s="149" t="str">
        <f>BACKUP!C7</f>
        <v xml:space="preserve">BALANCE </v>
      </c>
      <c r="D8" s="41" t="s">
        <v>8</v>
      </c>
      <c r="E8" s="41" t="s">
        <v>9</v>
      </c>
      <c r="F8" s="41" t="s">
        <v>10</v>
      </c>
      <c r="G8" s="41" t="s">
        <v>11</v>
      </c>
      <c r="H8" s="41" t="s">
        <v>12</v>
      </c>
      <c r="I8" s="41" t="s">
        <v>182</v>
      </c>
      <c r="J8" s="41" t="s">
        <v>14</v>
      </c>
      <c r="K8" s="41" t="s">
        <v>15</v>
      </c>
      <c r="L8" s="41" t="s">
        <v>16</v>
      </c>
      <c r="M8" s="41" t="s">
        <v>17</v>
      </c>
      <c r="N8" s="41" t="s">
        <v>18</v>
      </c>
      <c r="O8" s="41" t="s">
        <v>19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29"/>
      <c r="AB8" s="29"/>
      <c r="AC8" s="40" t="str">
        <f>C8</f>
        <v xml:space="preserve">BALANCE </v>
      </c>
      <c r="AD8" s="40" t="str">
        <f t="shared" si="0"/>
        <v>JAN</v>
      </c>
      <c r="AE8" s="40" t="str">
        <f t="shared" si="0"/>
        <v>FEB</v>
      </c>
      <c r="AF8" s="40" t="str">
        <f t="shared" si="0"/>
        <v>MAR</v>
      </c>
      <c r="AG8" s="40" t="str">
        <f t="shared" si="0"/>
        <v>APR</v>
      </c>
      <c r="AH8" s="40" t="str">
        <f t="shared" si="0"/>
        <v>MAY</v>
      </c>
      <c r="AI8" s="40" t="str">
        <f t="shared" si="0"/>
        <v>JUNE</v>
      </c>
      <c r="AJ8" s="40" t="str">
        <f t="shared" si="0"/>
        <v>JUL</v>
      </c>
      <c r="AK8" s="40" t="str">
        <f t="shared" si="0"/>
        <v>AUG</v>
      </c>
      <c r="AL8" s="40" t="str">
        <f t="shared" si="0"/>
        <v>SEP</v>
      </c>
      <c r="AM8" s="40" t="str">
        <f t="shared" si="0"/>
        <v>OCT</v>
      </c>
      <c r="AN8" s="40" t="str">
        <f t="shared" si="0"/>
        <v>NOV</v>
      </c>
      <c r="AO8" s="40" t="str">
        <f t="shared" si="0"/>
        <v>DEC</v>
      </c>
      <c r="AP8" s="32"/>
      <c r="AQ8" s="32"/>
      <c r="AR8" s="32"/>
      <c r="BC8" s="233" t="str">
        <f>C8</f>
        <v xml:space="preserve">BALANCE </v>
      </c>
      <c r="BD8" s="233" t="str">
        <f t="shared" si="1"/>
        <v>JAN</v>
      </c>
      <c r="BE8" s="233" t="str">
        <f t="shared" si="1"/>
        <v>FEB</v>
      </c>
      <c r="BF8" s="233" t="str">
        <f t="shared" si="1"/>
        <v>MAR</v>
      </c>
      <c r="BG8" s="233" t="str">
        <f t="shared" si="1"/>
        <v>APR</v>
      </c>
      <c r="BH8" s="233" t="str">
        <f t="shared" si="1"/>
        <v>MAY</v>
      </c>
      <c r="BI8" s="233" t="str">
        <f t="shared" si="1"/>
        <v>JUNE</v>
      </c>
      <c r="BJ8" s="233" t="str">
        <f t="shared" si="1"/>
        <v>JUL</v>
      </c>
      <c r="BK8" s="233" t="str">
        <f t="shared" si="1"/>
        <v>AUG</v>
      </c>
      <c r="BL8" s="233" t="str">
        <f t="shared" si="1"/>
        <v>SEP</v>
      </c>
      <c r="BM8" s="233" t="str">
        <f t="shared" si="1"/>
        <v>OCT</v>
      </c>
      <c r="BN8" s="233" t="str">
        <f t="shared" si="1"/>
        <v>NOV</v>
      </c>
      <c r="BO8" s="233" t="str">
        <f t="shared" si="1"/>
        <v>DEC</v>
      </c>
      <c r="CA8" s="29"/>
      <c r="CB8" s="29"/>
      <c r="CC8" s="40" t="str">
        <f>C8</f>
        <v xml:space="preserve">BALANCE </v>
      </c>
      <c r="CD8" s="40" t="str">
        <f t="shared" si="2"/>
        <v>JAN</v>
      </c>
      <c r="CE8" s="40" t="str">
        <f t="shared" si="2"/>
        <v>FEB</v>
      </c>
      <c r="CF8" s="40" t="str">
        <f t="shared" si="2"/>
        <v>MAR</v>
      </c>
      <c r="CG8" s="40" t="str">
        <f t="shared" si="2"/>
        <v>APR</v>
      </c>
      <c r="CH8" s="40" t="str">
        <f t="shared" si="2"/>
        <v>MAY</v>
      </c>
      <c r="CI8" s="40" t="str">
        <f t="shared" si="2"/>
        <v>JUNE</v>
      </c>
      <c r="CJ8" s="40" t="str">
        <f t="shared" si="2"/>
        <v>JUL</v>
      </c>
      <c r="CK8" s="40" t="str">
        <f t="shared" si="2"/>
        <v>AUG</v>
      </c>
      <c r="CL8" s="40" t="str">
        <f t="shared" si="2"/>
        <v>SEP</v>
      </c>
      <c r="CM8" s="40" t="str">
        <f t="shared" si="2"/>
        <v>OCT</v>
      </c>
      <c r="CN8" s="40" t="str">
        <f t="shared" si="2"/>
        <v>NOV</v>
      </c>
      <c r="CO8" s="40" t="str">
        <f t="shared" si="2"/>
        <v>DEC</v>
      </c>
      <c r="CP8" s="32"/>
    </row>
    <row r="9" spans="1:94" ht="12" customHeight="1">
      <c r="A9" s="29"/>
      <c r="B9" s="29"/>
      <c r="C9" s="150" t="str">
        <f>BACKUP!C8</f>
        <v>12/31/00</v>
      </c>
      <c r="D9" s="116">
        <v>2001</v>
      </c>
      <c r="E9" s="151">
        <f t="shared" ref="E9:O9" si="3">D9</f>
        <v>2001</v>
      </c>
      <c r="F9" s="151">
        <f t="shared" si="3"/>
        <v>2001</v>
      </c>
      <c r="G9" s="151">
        <f t="shared" si="3"/>
        <v>2001</v>
      </c>
      <c r="H9" s="151">
        <f t="shared" si="3"/>
        <v>2001</v>
      </c>
      <c r="I9" s="151">
        <f t="shared" si="3"/>
        <v>2001</v>
      </c>
      <c r="J9" s="151">
        <f t="shared" si="3"/>
        <v>2001</v>
      </c>
      <c r="K9" s="151">
        <f t="shared" si="3"/>
        <v>2001</v>
      </c>
      <c r="L9" s="151">
        <f t="shared" si="3"/>
        <v>2001</v>
      </c>
      <c r="M9" s="151">
        <f t="shared" si="3"/>
        <v>2001</v>
      </c>
      <c r="N9" s="151">
        <f t="shared" si="3"/>
        <v>2001</v>
      </c>
      <c r="O9" s="151">
        <f t="shared" si="3"/>
        <v>2001</v>
      </c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29"/>
      <c r="AB9" s="29"/>
      <c r="AC9" s="42" t="str">
        <f>C9</f>
        <v>12/31/00</v>
      </c>
      <c r="AD9" s="42">
        <f t="shared" si="0"/>
        <v>2001</v>
      </c>
      <c r="AE9" s="42">
        <f t="shared" si="0"/>
        <v>2001</v>
      </c>
      <c r="AF9" s="42">
        <f t="shared" si="0"/>
        <v>2001</v>
      </c>
      <c r="AG9" s="42">
        <f t="shared" si="0"/>
        <v>2001</v>
      </c>
      <c r="AH9" s="42">
        <f t="shared" si="0"/>
        <v>2001</v>
      </c>
      <c r="AI9" s="42">
        <f t="shared" si="0"/>
        <v>2001</v>
      </c>
      <c r="AJ9" s="42">
        <f t="shared" si="0"/>
        <v>2001</v>
      </c>
      <c r="AK9" s="42">
        <f t="shared" si="0"/>
        <v>2001</v>
      </c>
      <c r="AL9" s="42">
        <f t="shared" si="0"/>
        <v>2001</v>
      </c>
      <c r="AM9" s="42">
        <f t="shared" si="0"/>
        <v>2001</v>
      </c>
      <c r="AN9" s="42">
        <f t="shared" si="0"/>
        <v>2001</v>
      </c>
      <c r="AO9" s="42">
        <f t="shared" si="0"/>
        <v>2001</v>
      </c>
      <c r="AP9" s="32"/>
      <c r="AQ9" s="32"/>
      <c r="AR9" s="32"/>
      <c r="BC9" s="234" t="str">
        <f>C9</f>
        <v>12/31/00</v>
      </c>
      <c r="BD9" s="234">
        <f t="shared" si="1"/>
        <v>2001</v>
      </c>
      <c r="BE9" s="234">
        <f t="shared" si="1"/>
        <v>2001</v>
      </c>
      <c r="BF9" s="234">
        <f t="shared" si="1"/>
        <v>2001</v>
      </c>
      <c r="BG9" s="234">
        <f t="shared" si="1"/>
        <v>2001</v>
      </c>
      <c r="BH9" s="234">
        <f t="shared" si="1"/>
        <v>2001</v>
      </c>
      <c r="BI9" s="234">
        <f t="shared" si="1"/>
        <v>2001</v>
      </c>
      <c r="BJ9" s="234">
        <f t="shared" si="1"/>
        <v>2001</v>
      </c>
      <c r="BK9" s="234">
        <f t="shared" si="1"/>
        <v>2001</v>
      </c>
      <c r="BL9" s="234">
        <f t="shared" si="1"/>
        <v>2001</v>
      </c>
      <c r="BM9" s="234">
        <f t="shared" si="1"/>
        <v>2001</v>
      </c>
      <c r="BN9" s="234">
        <f t="shared" si="1"/>
        <v>2001</v>
      </c>
      <c r="BO9" s="234">
        <f t="shared" si="1"/>
        <v>2001</v>
      </c>
      <c r="CA9" s="29"/>
      <c r="CB9" s="29"/>
      <c r="CC9" s="42" t="str">
        <f>C9</f>
        <v>12/31/00</v>
      </c>
      <c r="CD9" s="42">
        <f t="shared" si="2"/>
        <v>2001</v>
      </c>
      <c r="CE9" s="42">
        <f t="shared" si="2"/>
        <v>2001</v>
      </c>
      <c r="CF9" s="42">
        <f t="shared" si="2"/>
        <v>2001</v>
      </c>
      <c r="CG9" s="42">
        <f t="shared" si="2"/>
        <v>2001</v>
      </c>
      <c r="CH9" s="42">
        <f t="shared" si="2"/>
        <v>2001</v>
      </c>
      <c r="CI9" s="42">
        <f t="shared" si="2"/>
        <v>2001</v>
      </c>
      <c r="CJ9" s="42">
        <f t="shared" si="2"/>
        <v>2001</v>
      </c>
      <c r="CK9" s="42">
        <f t="shared" si="2"/>
        <v>2001</v>
      </c>
      <c r="CL9" s="42">
        <f t="shared" si="2"/>
        <v>2001</v>
      </c>
      <c r="CM9" s="42">
        <f t="shared" si="2"/>
        <v>2001</v>
      </c>
      <c r="CN9" s="42">
        <f t="shared" si="2"/>
        <v>2001</v>
      </c>
      <c r="CO9" s="42">
        <f t="shared" si="2"/>
        <v>2001</v>
      </c>
      <c r="CP9" s="32"/>
    </row>
    <row r="10" spans="1:94" ht="6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</row>
    <row r="11" spans="1:94" ht="12" customHeight="1">
      <c r="A11" s="29"/>
      <c r="B11" s="30" t="s">
        <v>184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29"/>
      <c r="AB11" s="30" t="str">
        <f>B11</f>
        <v>CURRENT ASSETS</v>
      </c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32"/>
      <c r="AQ11" s="32"/>
      <c r="AR11" s="32"/>
      <c r="BB11" s="30" t="str">
        <f>B11</f>
        <v>CURRENT ASSETS</v>
      </c>
      <c r="CA11" s="29"/>
      <c r="CB11" s="30" t="str">
        <f>B11</f>
        <v>CURRENT ASSETS</v>
      </c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32"/>
    </row>
    <row r="12" spans="1:94" ht="12" customHeight="1">
      <c r="A12" s="44" t="s">
        <v>185</v>
      </c>
      <c r="B12" s="55" t="s">
        <v>186</v>
      </c>
      <c r="C12" s="43">
        <f>BACKUP!C13</f>
        <v>53</v>
      </c>
      <c r="D12" s="43">
        <f>BACKUP!D13</f>
        <v>53</v>
      </c>
      <c r="E12" s="43">
        <f>BACKUP!E13</f>
        <v>53</v>
      </c>
      <c r="F12" s="43">
        <f>BACKUP!F13</f>
        <v>53</v>
      </c>
      <c r="G12" s="43">
        <f>BACKUP!G13</f>
        <v>53</v>
      </c>
      <c r="H12" s="43">
        <f>BACKUP!H13</f>
        <v>53</v>
      </c>
      <c r="I12" s="43">
        <f>BACKUP!I13</f>
        <v>53</v>
      </c>
      <c r="J12" s="43">
        <f>BACKUP!J13</f>
        <v>53</v>
      </c>
      <c r="K12" s="43">
        <f>BACKUP!K13</f>
        <v>53</v>
      </c>
      <c r="L12" s="43">
        <f>BACKUP!L13</f>
        <v>53</v>
      </c>
      <c r="M12" s="43">
        <f>BACKUP!M13</f>
        <v>53</v>
      </c>
      <c r="N12" s="43">
        <f>BACKUP!N13</f>
        <v>53</v>
      </c>
      <c r="O12" s="43">
        <f>BACKUP!O13</f>
        <v>53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44" t="str">
        <f>A12</f>
        <v>1</v>
      </c>
      <c r="AB12" s="45" t="str">
        <f>B12</f>
        <v xml:space="preserve">   Cash &amp; Temporary Cash Investments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  <c r="AJ12" s="46">
        <v>0</v>
      </c>
      <c r="AK12" s="46">
        <v>0</v>
      </c>
      <c r="AL12" s="46">
        <v>0</v>
      </c>
      <c r="AM12" s="46">
        <v>0</v>
      </c>
      <c r="AN12" s="46">
        <v>0</v>
      </c>
      <c r="AO12" s="46">
        <v>0</v>
      </c>
      <c r="AP12" s="32"/>
      <c r="AQ12" s="43"/>
      <c r="AR12" s="32"/>
      <c r="BA12" s="44" t="str">
        <f>AA12</f>
        <v>1</v>
      </c>
      <c r="BB12" s="45" t="str">
        <f>B12</f>
        <v xml:space="preserve">   Cash &amp; Temporary Cash Investments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CA12" s="44" t="str">
        <f>A12</f>
        <v>1</v>
      </c>
      <c r="CB12" s="45" t="str">
        <f>B12</f>
        <v xml:space="preserve">   Cash &amp; Temporary Cash Investments</v>
      </c>
      <c r="CC12" s="135">
        <f>C12-AC12-BC12</f>
        <v>53</v>
      </c>
      <c r="CD12" s="135">
        <f t="shared" ref="CD12:CO24" si="4">D12-AD12-BD12</f>
        <v>53</v>
      </c>
      <c r="CE12" s="135">
        <f t="shared" si="4"/>
        <v>53</v>
      </c>
      <c r="CF12" s="135">
        <f t="shared" si="4"/>
        <v>53</v>
      </c>
      <c r="CG12" s="135">
        <f t="shared" si="4"/>
        <v>53</v>
      </c>
      <c r="CH12" s="135">
        <f t="shared" si="4"/>
        <v>53</v>
      </c>
      <c r="CI12" s="135">
        <f t="shared" si="4"/>
        <v>53</v>
      </c>
      <c r="CJ12" s="135">
        <f t="shared" si="4"/>
        <v>53</v>
      </c>
      <c r="CK12" s="135">
        <f t="shared" si="4"/>
        <v>53</v>
      </c>
      <c r="CL12" s="135">
        <f t="shared" si="4"/>
        <v>53</v>
      </c>
      <c r="CM12" s="135">
        <f t="shared" si="4"/>
        <v>53</v>
      </c>
      <c r="CN12" s="135">
        <f t="shared" si="4"/>
        <v>53</v>
      </c>
      <c r="CO12" s="135">
        <f t="shared" si="4"/>
        <v>53</v>
      </c>
      <c r="CP12" s="32"/>
    </row>
    <row r="13" spans="1:94" ht="12" customHeight="1">
      <c r="A13" s="44" t="s">
        <v>187</v>
      </c>
      <c r="B13" s="45" t="s">
        <v>188</v>
      </c>
      <c r="C13" s="43">
        <f>BACKUP!C33</f>
        <v>40542</v>
      </c>
      <c r="D13" s="43">
        <f>BACKUP!D33</f>
        <v>44439</v>
      </c>
      <c r="E13" s="43">
        <f>BACKUP!E33</f>
        <v>41453</v>
      </c>
      <c r="F13" s="43">
        <f>BACKUP!F33</f>
        <v>57404</v>
      </c>
      <c r="G13" s="43">
        <f>BACKUP!G33</f>
        <v>40956</v>
      </c>
      <c r="H13" s="43">
        <f>BACKUP!H33</f>
        <v>30453</v>
      </c>
      <c r="I13" s="43">
        <f>BACKUP!I33</f>
        <v>36741</v>
      </c>
      <c r="J13" s="43">
        <f>BACKUP!J33</f>
        <v>29898</v>
      </c>
      <c r="K13" s="43">
        <f>BACKUP!K33</f>
        <v>29869</v>
      </c>
      <c r="L13" s="43">
        <f>BACKUP!L33</f>
        <v>28120</v>
      </c>
      <c r="M13" s="43">
        <f>BACKUP!M33</f>
        <v>27501</v>
      </c>
      <c r="N13" s="43">
        <f>BACKUP!N33</f>
        <v>56488</v>
      </c>
      <c r="O13" s="43">
        <f>BACKUP!O33</f>
        <v>57686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44" t="str">
        <f t="shared" ref="AA13:AA24" si="5">A13</f>
        <v>2</v>
      </c>
      <c r="AB13" s="45" t="str">
        <f t="shared" ref="AB13:AB24" si="6">B13</f>
        <v xml:space="preserve">   Accounts Receivable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N13" s="46">
        <v>0</v>
      </c>
      <c r="AO13" s="46">
        <v>0</v>
      </c>
      <c r="AP13" s="32"/>
      <c r="AQ13" s="43"/>
      <c r="AR13" s="32"/>
      <c r="BA13" s="44" t="str">
        <f t="shared" ref="BA13:BA24" si="7">AA13</f>
        <v>2</v>
      </c>
      <c r="BB13" s="45" t="str">
        <f t="shared" ref="BB13:BB24" si="8">B13</f>
        <v xml:space="preserve">   Accounts Receivable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0</v>
      </c>
      <c r="BO13" s="46">
        <v>0</v>
      </c>
      <c r="CA13" s="44" t="str">
        <f t="shared" ref="CA13:CA24" si="9">A13</f>
        <v>2</v>
      </c>
      <c r="CB13" s="45" t="str">
        <f t="shared" ref="CB13:CB24" si="10">B13</f>
        <v xml:space="preserve">   Accounts Receivable</v>
      </c>
      <c r="CC13" s="135">
        <f t="shared" ref="CC13:CC24" si="11">C13-AC13-BC13</f>
        <v>40542</v>
      </c>
      <c r="CD13" s="135">
        <f t="shared" si="4"/>
        <v>44439</v>
      </c>
      <c r="CE13" s="135">
        <f t="shared" si="4"/>
        <v>41453</v>
      </c>
      <c r="CF13" s="135">
        <f t="shared" si="4"/>
        <v>57404</v>
      </c>
      <c r="CG13" s="135">
        <f t="shared" si="4"/>
        <v>40956</v>
      </c>
      <c r="CH13" s="135">
        <f t="shared" si="4"/>
        <v>30453</v>
      </c>
      <c r="CI13" s="135">
        <f t="shared" si="4"/>
        <v>36741</v>
      </c>
      <c r="CJ13" s="135">
        <f t="shared" si="4"/>
        <v>29898</v>
      </c>
      <c r="CK13" s="135">
        <f t="shared" si="4"/>
        <v>29869</v>
      </c>
      <c r="CL13" s="135">
        <f t="shared" si="4"/>
        <v>28120</v>
      </c>
      <c r="CM13" s="135">
        <f t="shared" si="4"/>
        <v>27501</v>
      </c>
      <c r="CN13" s="135">
        <f t="shared" si="4"/>
        <v>56488</v>
      </c>
      <c r="CO13" s="135">
        <f t="shared" si="4"/>
        <v>57686</v>
      </c>
      <c r="CP13" s="32"/>
    </row>
    <row r="14" spans="1:94" ht="12" customHeight="1">
      <c r="A14" s="44" t="s">
        <v>189</v>
      </c>
      <c r="B14" s="55" t="s">
        <v>190</v>
      </c>
      <c r="C14" s="43">
        <f>-BACKUP!C473</f>
        <v>897027</v>
      </c>
      <c r="D14" s="43">
        <f>-BACKUP!D473</f>
        <v>947651</v>
      </c>
      <c r="E14" s="43">
        <f>-BACKUP!E473</f>
        <v>937500</v>
      </c>
      <c r="F14" s="43">
        <f>-BACKUP!F473</f>
        <v>970640</v>
      </c>
      <c r="G14" s="43">
        <f>-BACKUP!G473</f>
        <v>1018504</v>
      </c>
      <c r="H14" s="43">
        <f>-BACKUP!H473</f>
        <v>1037688</v>
      </c>
      <c r="I14" s="43">
        <f>-BACKUP!I473</f>
        <v>1048458</v>
      </c>
      <c r="J14" s="43">
        <f>-BACKUP!J473</f>
        <v>1067891</v>
      </c>
      <c r="K14" s="43">
        <f>-BACKUP!K473</f>
        <v>1085805</v>
      </c>
      <c r="L14" s="43">
        <f>-BACKUP!L473</f>
        <v>1087205</v>
      </c>
      <c r="M14" s="43">
        <f>-BACKUP!M473</f>
        <v>1090605</v>
      </c>
      <c r="N14" s="43">
        <f>-BACKUP!N473</f>
        <v>1089105</v>
      </c>
      <c r="O14" s="43">
        <f>-BACKUP!O473</f>
        <v>1093605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44" t="str">
        <f t="shared" si="5"/>
        <v>I</v>
      </c>
      <c r="AB14" s="45" t="str">
        <f t="shared" si="6"/>
        <v xml:space="preserve">   Enron Corporate - Receivable (Acct. 1466)</v>
      </c>
      <c r="AC14" s="46">
        <v>26553</v>
      </c>
      <c r="AD14" s="232">
        <f>AC14-[1]IncomeState!C$152-1</f>
        <v>26284</v>
      </c>
      <c r="AE14" s="198">
        <f>AD14-[1]IncomeState!D$152</f>
        <v>26085</v>
      </c>
      <c r="AF14" s="232">
        <f>AE14-[1]IncomeState!E$152+800-5039+1</f>
        <v>21652</v>
      </c>
      <c r="AG14" s="198">
        <f>AF14-[1]IncomeState!F$152</f>
        <v>21118</v>
      </c>
      <c r="AH14" s="232">
        <f>AG14-[1]IncomeState!G$152-2</f>
        <v>20921</v>
      </c>
      <c r="AI14" s="232">
        <f>AH14-[1]IncomeState!H$152+800+3000</f>
        <v>24484</v>
      </c>
      <c r="AJ14" s="232">
        <f>AI14-[1]IncomeState!I$152+33-33</f>
        <v>24282</v>
      </c>
      <c r="AK14" s="232">
        <f>AJ14-[1]IncomeState!J$152+2000</f>
        <v>26102</v>
      </c>
      <c r="AL14" s="232">
        <f>AK14-[1]IncomeState!K$152+800</f>
        <v>26702</v>
      </c>
      <c r="AM14" s="198">
        <f>AL14-[1]IncomeState!L$152</f>
        <v>26458</v>
      </c>
      <c r="AN14" s="198">
        <f>AM14-[1]IncomeState!M$152</f>
        <v>26200</v>
      </c>
      <c r="AO14" s="232">
        <f>AN14-[1]IncomeState!N$152+800</f>
        <v>26999</v>
      </c>
      <c r="AP14" s="32"/>
      <c r="AQ14" s="43"/>
      <c r="AR14" s="32"/>
      <c r="BA14" s="44" t="str">
        <f t="shared" si="7"/>
        <v>I</v>
      </c>
      <c r="BB14" s="45" t="str">
        <f t="shared" si="8"/>
        <v xml:space="preserve">   Enron Corporate - Receivable (Acct. 1466)</v>
      </c>
      <c r="BC14" s="46">
        <v>80</v>
      </c>
      <c r="BD14" s="198">
        <f>BC14</f>
        <v>80</v>
      </c>
      <c r="BE14" s="198">
        <f t="shared" ref="BE14:BO14" si="12">BD14</f>
        <v>80</v>
      </c>
      <c r="BF14" s="198">
        <f t="shared" si="12"/>
        <v>80</v>
      </c>
      <c r="BG14" s="198">
        <f t="shared" si="12"/>
        <v>80</v>
      </c>
      <c r="BH14" s="198">
        <f t="shared" si="12"/>
        <v>80</v>
      </c>
      <c r="BI14" s="198">
        <f t="shared" si="12"/>
        <v>80</v>
      </c>
      <c r="BJ14" s="198">
        <f t="shared" si="12"/>
        <v>80</v>
      </c>
      <c r="BK14" s="198">
        <f t="shared" si="12"/>
        <v>80</v>
      </c>
      <c r="BL14" s="198">
        <f t="shared" si="12"/>
        <v>80</v>
      </c>
      <c r="BM14" s="198">
        <f t="shared" si="12"/>
        <v>80</v>
      </c>
      <c r="BN14" s="198">
        <f t="shared" si="12"/>
        <v>80</v>
      </c>
      <c r="BO14" s="198">
        <f t="shared" si="12"/>
        <v>80</v>
      </c>
      <c r="CA14" s="44" t="str">
        <f t="shared" si="9"/>
        <v>I</v>
      </c>
      <c r="CB14" s="45" t="str">
        <f t="shared" si="10"/>
        <v xml:space="preserve">   Enron Corporate - Receivable (Acct. 1466)</v>
      </c>
      <c r="CC14" s="135">
        <f t="shared" si="11"/>
        <v>870394</v>
      </c>
      <c r="CD14" s="135">
        <f t="shared" si="4"/>
        <v>921287</v>
      </c>
      <c r="CE14" s="135">
        <f t="shared" si="4"/>
        <v>911335</v>
      </c>
      <c r="CF14" s="135">
        <f t="shared" si="4"/>
        <v>948908</v>
      </c>
      <c r="CG14" s="135">
        <f t="shared" si="4"/>
        <v>997306</v>
      </c>
      <c r="CH14" s="135">
        <f t="shared" si="4"/>
        <v>1016687</v>
      </c>
      <c r="CI14" s="135">
        <f t="shared" si="4"/>
        <v>1023894</v>
      </c>
      <c r="CJ14" s="135">
        <f t="shared" si="4"/>
        <v>1043529</v>
      </c>
      <c r="CK14" s="135">
        <f t="shared" si="4"/>
        <v>1059623</v>
      </c>
      <c r="CL14" s="135">
        <f t="shared" si="4"/>
        <v>1060423</v>
      </c>
      <c r="CM14" s="135">
        <f t="shared" si="4"/>
        <v>1064067</v>
      </c>
      <c r="CN14" s="135">
        <f t="shared" si="4"/>
        <v>1062825</v>
      </c>
      <c r="CO14" s="135">
        <f t="shared" si="4"/>
        <v>1066526</v>
      </c>
      <c r="CP14" s="32"/>
    </row>
    <row r="15" spans="1:94" ht="12" customHeight="1">
      <c r="A15" s="44" t="s">
        <v>189</v>
      </c>
      <c r="B15" s="55" t="s">
        <v>191</v>
      </c>
      <c r="C15" s="43">
        <f>-BACKUP!C308</f>
        <v>-573870</v>
      </c>
      <c r="D15" s="43">
        <f>-BACKUP!D308</f>
        <v>-593130</v>
      </c>
      <c r="E15" s="43">
        <f>-BACKUP!E308</f>
        <v>-612073</v>
      </c>
      <c r="F15" s="43">
        <f>-BACKUP!F308</f>
        <v>-636921</v>
      </c>
      <c r="G15" s="43">
        <f>-BACKUP!G308</f>
        <v>-637328</v>
      </c>
      <c r="H15" s="43">
        <f>-BACKUP!H308</f>
        <v>-643167</v>
      </c>
      <c r="I15" s="43">
        <f>-BACKUP!I308</f>
        <v>-656330</v>
      </c>
      <c r="J15" s="43">
        <f>-BACKUP!J308</f>
        <v>-664746</v>
      </c>
      <c r="K15" s="43">
        <f>-BACKUP!K308</f>
        <v>-670646</v>
      </c>
      <c r="L15" s="43">
        <f>-BACKUP!L308</f>
        <v>-677446</v>
      </c>
      <c r="M15" s="43">
        <f>-BACKUP!M308</f>
        <v>-697446</v>
      </c>
      <c r="N15" s="43">
        <f>-BACKUP!N308</f>
        <v>-717946</v>
      </c>
      <c r="O15" s="43">
        <f>-BACKUP!O308</f>
        <v>-736746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44"/>
      <c r="AB15" s="45" t="str">
        <f t="shared" si="6"/>
        <v xml:space="preserve">                            - Payable (Acct. 1460)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32"/>
      <c r="AQ15" s="43"/>
      <c r="AR15" s="32"/>
      <c r="BA15" s="44"/>
      <c r="BB15" s="45" t="str">
        <f t="shared" si="8"/>
        <v xml:space="preserve">                            - Payable (Acct. 1460)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0</v>
      </c>
      <c r="BO15" s="46">
        <v>0</v>
      </c>
      <c r="CA15" s="44" t="str">
        <f t="shared" si="9"/>
        <v>I</v>
      </c>
      <c r="CB15" s="45" t="str">
        <f t="shared" si="10"/>
        <v xml:space="preserve">                            - Payable (Acct. 1460)</v>
      </c>
      <c r="CC15" s="135">
        <f t="shared" si="11"/>
        <v>-573870</v>
      </c>
      <c r="CD15" s="135">
        <f t="shared" si="4"/>
        <v>-593130</v>
      </c>
      <c r="CE15" s="135">
        <f t="shared" si="4"/>
        <v>-612073</v>
      </c>
      <c r="CF15" s="135">
        <f t="shared" si="4"/>
        <v>-636921</v>
      </c>
      <c r="CG15" s="135">
        <f t="shared" si="4"/>
        <v>-637328</v>
      </c>
      <c r="CH15" s="135">
        <f t="shared" si="4"/>
        <v>-643167</v>
      </c>
      <c r="CI15" s="135">
        <f t="shared" si="4"/>
        <v>-656330</v>
      </c>
      <c r="CJ15" s="135">
        <f t="shared" si="4"/>
        <v>-664746</v>
      </c>
      <c r="CK15" s="135">
        <f t="shared" si="4"/>
        <v>-670646</v>
      </c>
      <c r="CL15" s="135">
        <f t="shared" si="4"/>
        <v>-677446</v>
      </c>
      <c r="CM15" s="135">
        <f t="shared" si="4"/>
        <v>-697446</v>
      </c>
      <c r="CN15" s="135">
        <f t="shared" si="4"/>
        <v>-717946</v>
      </c>
      <c r="CO15" s="135">
        <f t="shared" si="4"/>
        <v>-736746</v>
      </c>
      <c r="CP15" s="32"/>
    </row>
    <row r="16" spans="1:94" ht="12" customHeight="1">
      <c r="A16" s="44"/>
      <c r="B16" s="55" t="s">
        <v>557</v>
      </c>
      <c r="C16" s="43">
        <f>BACKUP!C41</f>
        <v>0</v>
      </c>
      <c r="D16" s="43">
        <f>BACKUP!D41</f>
        <v>0</v>
      </c>
      <c r="E16" s="43">
        <f>BACKUP!E41</f>
        <v>0</v>
      </c>
      <c r="F16" s="43">
        <f>BACKUP!F41</f>
        <v>0</v>
      </c>
      <c r="G16" s="43">
        <f>BACKUP!G41</f>
        <v>32</v>
      </c>
      <c r="H16" s="43">
        <f>BACKUP!H41</f>
        <v>32</v>
      </c>
      <c r="I16" s="43">
        <f>BACKUP!I41</f>
        <v>3102</v>
      </c>
      <c r="J16" s="43">
        <f>BACKUP!J41</f>
        <v>7082</v>
      </c>
      <c r="K16" s="43">
        <f>BACKUP!K41</f>
        <v>7082</v>
      </c>
      <c r="L16" s="43">
        <f>BACKUP!L41</f>
        <v>7082</v>
      </c>
      <c r="M16" s="43">
        <f>BACKUP!M41</f>
        <v>7082</v>
      </c>
      <c r="N16" s="43">
        <f>BACKUP!N41</f>
        <v>7082</v>
      </c>
      <c r="O16" s="43">
        <f>BACKUP!O41</f>
        <v>7082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44"/>
      <c r="AB16" s="45" t="str">
        <f t="shared" si="6"/>
        <v xml:space="preserve">   Asset Price Risk Management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32"/>
      <c r="AQ16" s="43"/>
      <c r="AR16" s="32"/>
      <c r="BA16" s="44"/>
      <c r="BB16" s="45" t="str">
        <f t="shared" si="8"/>
        <v xml:space="preserve">   Asset Price Risk Management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CA16" s="44"/>
      <c r="CB16" s="45" t="str">
        <f t="shared" si="10"/>
        <v xml:space="preserve">   Asset Price Risk Management</v>
      </c>
      <c r="CC16" s="135">
        <f t="shared" ref="CC16:CO16" si="13">C16-AC16-BC16</f>
        <v>0</v>
      </c>
      <c r="CD16" s="135">
        <f t="shared" si="13"/>
        <v>0</v>
      </c>
      <c r="CE16" s="135">
        <f t="shared" si="13"/>
        <v>0</v>
      </c>
      <c r="CF16" s="135">
        <f t="shared" si="13"/>
        <v>0</v>
      </c>
      <c r="CG16" s="135">
        <f t="shared" si="13"/>
        <v>32</v>
      </c>
      <c r="CH16" s="135">
        <f t="shared" si="13"/>
        <v>32</v>
      </c>
      <c r="CI16" s="135">
        <f t="shared" si="13"/>
        <v>3102</v>
      </c>
      <c r="CJ16" s="135">
        <f t="shared" si="13"/>
        <v>7082</v>
      </c>
      <c r="CK16" s="135">
        <f t="shared" si="13"/>
        <v>7082</v>
      </c>
      <c r="CL16" s="135">
        <f t="shared" si="13"/>
        <v>7082</v>
      </c>
      <c r="CM16" s="135">
        <f t="shared" si="13"/>
        <v>7082</v>
      </c>
      <c r="CN16" s="135">
        <f t="shared" si="13"/>
        <v>7082</v>
      </c>
      <c r="CO16" s="135">
        <f t="shared" si="13"/>
        <v>7082</v>
      </c>
      <c r="CP16" s="32"/>
    </row>
    <row r="17" spans="1:94" ht="12" customHeight="1">
      <c r="A17" s="44" t="s">
        <v>192</v>
      </c>
      <c r="B17" s="45" t="s">
        <v>193</v>
      </c>
      <c r="C17" s="43">
        <f>BACKUP!C49</f>
        <v>0</v>
      </c>
      <c r="D17" s="43">
        <f>BACKUP!D49</f>
        <v>0</v>
      </c>
      <c r="E17" s="43">
        <f>BACKUP!E49</f>
        <v>0</v>
      </c>
      <c r="F17" s="43">
        <f>BACKUP!F49</f>
        <v>0</v>
      </c>
      <c r="G17" s="43">
        <f>BACKUP!G49</f>
        <v>0</v>
      </c>
      <c r="H17" s="43">
        <f>BACKUP!H49</f>
        <v>0</v>
      </c>
      <c r="I17" s="43">
        <f>BACKUP!I49</f>
        <v>0</v>
      </c>
      <c r="J17" s="43">
        <f>BACKUP!J49</f>
        <v>0</v>
      </c>
      <c r="K17" s="43">
        <f>BACKUP!K49</f>
        <v>0</v>
      </c>
      <c r="L17" s="43">
        <f>BACKUP!L49</f>
        <v>0</v>
      </c>
      <c r="M17" s="43">
        <f>BACKUP!M49</f>
        <v>0</v>
      </c>
      <c r="N17" s="43">
        <f>BACKUP!N49</f>
        <v>0</v>
      </c>
      <c r="O17" s="43">
        <f>BACKUP!O49</f>
        <v>0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44" t="str">
        <f t="shared" si="5"/>
        <v>3</v>
      </c>
      <c r="AB17" s="45" t="str">
        <f t="shared" si="6"/>
        <v xml:space="preserve">   Inventories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0</v>
      </c>
      <c r="AL17" s="46">
        <v>0</v>
      </c>
      <c r="AM17" s="46">
        <v>0</v>
      </c>
      <c r="AN17" s="46">
        <v>0</v>
      </c>
      <c r="AO17" s="46">
        <v>0</v>
      </c>
      <c r="AP17" s="32"/>
      <c r="AQ17" s="43"/>
      <c r="AR17" s="32"/>
      <c r="BA17" s="44" t="str">
        <f t="shared" si="7"/>
        <v>3</v>
      </c>
      <c r="BB17" s="45" t="str">
        <f t="shared" si="8"/>
        <v xml:space="preserve">   Inventories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CA17" s="44" t="str">
        <f t="shared" si="9"/>
        <v>3</v>
      </c>
      <c r="CB17" s="45" t="str">
        <f t="shared" si="10"/>
        <v xml:space="preserve">   Inventories</v>
      </c>
      <c r="CC17" s="135">
        <f t="shared" si="11"/>
        <v>0</v>
      </c>
      <c r="CD17" s="135">
        <f t="shared" si="4"/>
        <v>0</v>
      </c>
      <c r="CE17" s="135">
        <f t="shared" si="4"/>
        <v>0</v>
      </c>
      <c r="CF17" s="135">
        <f t="shared" si="4"/>
        <v>0</v>
      </c>
      <c r="CG17" s="135">
        <f t="shared" si="4"/>
        <v>0</v>
      </c>
      <c r="CH17" s="135">
        <f t="shared" si="4"/>
        <v>0</v>
      </c>
      <c r="CI17" s="135">
        <f t="shared" si="4"/>
        <v>0</v>
      </c>
      <c r="CJ17" s="135">
        <f t="shared" si="4"/>
        <v>0</v>
      </c>
      <c r="CK17" s="135">
        <f t="shared" si="4"/>
        <v>0</v>
      </c>
      <c r="CL17" s="135">
        <f t="shared" si="4"/>
        <v>0</v>
      </c>
      <c r="CM17" s="135">
        <f t="shared" si="4"/>
        <v>0</v>
      </c>
      <c r="CN17" s="135">
        <f t="shared" si="4"/>
        <v>0</v>
      </c>
      <c r="CO17" s="135">
        <f t="shared" si="4"/>
        <v>0</v>
      </c>
      <c r="CP17" s="32"/>
    </row>
    <row r="18" spans="1:94" ht="12" customHeight="1">
      <c r="A18" s="44" t="s">
        <v>192</v>
      </c>
      <c r="B18" s="45" t="s">
        <v>194</v>
      </c>
      <c r="C18" s="43">
        <f>BACKUP!C56</f>
        <v>5865</v>
      </c>
      <c r="D18" s="43">
        <f>BACKUP!D56</f>
        <v>5860</v>
      </c>
      <c r="E18" s="43">
        <f>BACKUP!E56</f>
        <v>5857</v>
      </c>
      <c r="F18" s="43">
        <f>BACKUP!F56</f>
        <v>4596</v>
      </c>
      <c r="G18" s="43">
        <f>BACKUP!G56</f>
        <v>4586</v>
      </c>
      <c r="H18" s="43">
        <f>BACKUP!H56</f>
        <v>4389</v>
      </c>
      <c r="I18" s="43">
        <f>BACKUP!I56</f>
        <v>4372</v>
      </c>
      <c r="J18" s="43">
        <f>BACKUP!J56</f>
        <v>4373</v>
      </c>
      <c r="K18" s="43">
        <f>BACKUP!K56</f>
        <v>4373</v>
      </c>
      <c r="L18" s="43">
        <f>BACKUP!L56</f>
        <v>4373</v>
      </c>
      <c r="M18" s="43">
        <f>BACKUP!M56</f>
        <v>4373</v>
      </c>
      <c r="N18" s="43">
        <f>BACKUP!N56</f>
        <v>4373</v>
      </c>
      <c r="O18" s="43">
        <f>BACKUP!O56</f>
        <v>4373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44" t="str">
        <f t="shared" si="5"/>
        <v>3</v>
      </c>
      <c r="AB18" s="45" t="str">
        <f t="shared" si="6"/>
        <v xml:space="preserve">   Materials and Supplies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0</v>
      </c>
      <c r="AI18" s="46">
        <v>0</v>
      </c>
      <c r="AJ18" s="46">
        <v>0</v>
      </c>
      <c r="AK18" s="46">
        <v>0</v>
      </c>
      <c r="AL18" s="46">
        <v>0</v>
      </c>
      <c r="AM18" s="46">
        <v>0</v>
      </c>
      <c r="AN18" s="46">
        <v>0</v>
      </c>
      <c r="AO18" s="46">
        <v>0</v>
      </c>
      <c r="AP18" s="32"/>
      <c r="AQ18" s="43"/>
      <c r="AR18" s="32"/>
      <c r="BA18" s="44" t="str">
        <f t="shared" si="7"/>
        <v>3</v>
      </c>
      <c r="BB18" s="45" t="str">
        <f t="shared" si="8"/>
        <v xml:space="preserve">   Materials and Supplies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CA18" s="44" t="str">
        <f t="shared" si="9"/>
        <v>3</v>
      </c>
      <c r="CB18" s="45" t="str">
        <f t="shared" si="10"/>
        <v xml:space="preserve">   Materials and Supplies</v>
      </c>
      <c r="CC18" s="135">
        <f t="shared" si="11"/>
        <v>5865</v>
      </c>
      <c r="CD18" s="135">
        <f t="shared" si="4"/>
        <v>5860</v>
      </c>
      <c r="CE18" s="135">
        <f t="shared" si="4"/>
        <v>5857</v>
      </c>
      <c r="CF18" s="135">
        <f t="shared" si="4"/>
        <v>4596</v>
      </c>
      <c r="CG18" s="135">
        <f t="shared" si="4"/>
        <v>4586</v>
      </c>
      <c r="CH18" s="135">
        <f t="shared" si="4"/>
        <v>4389</v>
      </c>
      <c r="CI18" s="135">
        <f t="shared" si="4"/>
        <v>4372</v>
      </c>
      <c r="CJ18" s="135">
        <f t="shared" si="4"/>
        <v>4373</v>
      </c>
      <c r="CK18" s="135">
        <f t="shared" si="4"/>
        <v>4373</v>
      </c>
      <c r="CL18" s="135">
        <f t="shared" si="4"/>
        <v>4373</v>
      </c>
      <c r="CM18" s="135">
        <f t="shared" si="4"/>
        <v>4373</v>
      </c>
      <c r="CN18" s="135">
        <f t="shared" si="4"/>
        <v>4373</v>
      </c>
      <c r="CO18" s="135">
        <f t="shared" si="4"/>
        <v>4373</v>
      </c>
      <c r="CP18" s="32"/>
    </row>
    <row r="19" spans="1:94" ht="12" customHeight="1">
      <c r="A19" s="44" t="s">
        <v>195</v>
      </c>
      <c r="B19" s="45" t="s">
        <v>196</v>
      </c>
      <c r="C19" s="43">
        <f>BACKUP!C63</f>
        <v>80047</v>
      </c>
      <c r="D19" s="43">
        <f>BACKUP!D63</f>
        <v>82120</v>
      </c>
      <c r="E19" s="43">
        <f>BACKUP!E63</f>
        <v>71100</v>
      </c>
      <c r="F19" s="43">
        <f>BACKUP!F63</f>
        <v>61495</v>
      </c>
      <c r="G19" s="43">
        <f>BACKUP!G63</f>
        <v>57748</v>
      </c>
      <c r="H19" s="43">
        <f>BACKUP!H63</f>
        <v>52160</v>
      </c>
      <c r="I19" s="43">
        <f>BACKUP!I63</f>
        <v>57225</v>
      </c>
      <c r="J19" s="43">
        <f>BACKUP!J63</f>
        <v>41497</v>
      </c>
      <c r="K19" s="43">
        <f>BACKUP!K63</f>
        <v>41497</v>
      </c>
      <c r="L19" s="43">
        <f>BACKUP!L63</f>
        <v>41497</v>
      </c>
      <c r="M19" s="43">
        <f>BACKUP!M63</f>
        <v>41497</v>
      </c>
      <c r="N19" s="43">
        <f>BACKUP!N63</f>
        <v>41497</v>
      </c>
      <c r="O19" s="43">
        <f>BACKUP!O63</f>
        <v>41497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44" t="str">
        <f t="shared" si="5"/>
        <v>4</v>
      </c>
      <c r="AB19" s="45" t="str">
        <f t="shared" si="6"/>
        <v xml:space="preserve">   Exchange Gas Receivable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0</v>
      </c>
      <c r="AI19" s="46">
        <v>0</v>
      </c>
      <c r="AJ19" s="46">
        <v>0</v>
      </c>
      <c r="AK19" s="46">
        <v>0</v>
      </c>
      <c r="AL19" s="46">
        <v>0</v>
      </c>
      <c r="AM19" s="46">
        <v>0</v>
      </c>
      <c r="AN19" s="46">
        <v>0</v>
      </c>
      <c r="AO19" s="46">
        <v>0</v>
      </c>
      <c r="AP19" s="32"/>
      <c r="AQ19" s="43"/>
      <c r="AR19" s="32"/>
      <c r="BA19" s="44" t="str">
        <f t="shared" si="7"/>
        <v>4</v>
      </c>
      <c r="BB19" s="45" t="str">
        <f t="shared" si="8"/>
        <v xml:space="preserve">   Exchange Gas Receivable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CA19" s="44" t="str">
        <f t="shared" si="9"/>
        <v>4</v>
      </c>
      <c r="CB19" s="45" t="str">
        <f t="shared" si="10"/>
        <v xml:space="preserve">   Exchange Gas Receivable</v>
      </c>
      <c r="CC19" s="135">
        <f t="shared" si="11"/>
        <v>80047</v>
      </c>
      <c r="CD19" s="135">
        <f t="shared" si="4"/>
        <v>82120</v>
      </c>
      <c r="CE19" s="135">
        <f t="shared" si="4"/>
        <v>71100</v>
      </c>
      <c r="CF19" s="135">
        <f t="shared" si="4"/>
        <v>61495</v>
      </c>
      <c r="CG19" s="135">
        <f t="shared" si="4"/>
        <v>57748</v>
      </c>
      <c r="CH19" s="135">
        <f t="shared" si="4"/>
        <v>52160</v>
      </c>
      <c r="CI19" s="135">
        <f t="shared" si="4"/>
        <v>57225</v>
      </c>
      <c r="CJ19" s="135">
        <f t="shared" si="4"/>
        <v>41497</v>
      </c>
      <c r="CK19" s="135">
        <f t="shared" si="4"/>
        <v>41497</v>
      </c>
      <c r="CL19" s="135">
        <f t="shared" si="4"/>
        <v>41497</v>
      </c>
      <c r="CM19" s="135">
        <f t="shared" si="4"/>
        <v>41497</v>
      </c>
      <c r="CN19" s="135">
        <f t="shared" si="4"/>
        <v>41497</v>
      </c>
      <c r="CO19" s="135">
        <f t="shared" si="4"/>
        <v>41497</v>
      </c>
      <c r="CP19" s="32"/>
    </row>
    <row r="20" spans="1:94" ht="12" customHeight="1">
      <c r="A20" s="44" t="s">
        <v>195</v>
      </c>
      <c r="B20" s="45" t="s">
        <v>197</v>
      </c>
      <c r="C20" s="237">
        <v>0</v>
      </c>
      <c r="D20" s="237">
        <v>0</v>
      </c>
      <c r="E20" s="237">
        <v>0</v>
      </c>
      <c r="F20" s="237">
        <v>0</v>
      </c>
      <c r="G20" s="237">
        <v>0</v>
      </c>
      <c r="H20" s="237">
        <v>0</v>
      </c>
      <c r="I20" s="237">
        <v>0</v>
      </c>
      <c r="J20" s="237">
        <v>0</v>
      </c>
      <c r="K20" s="237">
        <v>0</v>
      </c>
      <c r="L20" s="237">
        <v>0</v>
      </c>
      <c r="M20" s="237">
        <v>0</v>
      </c>
      <c r="N20" s="237">
        <v>0</v>
      </c>
      <c r="O20" s="237">
        <v>0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44" t="str">
        <f t="shared" si="5"/>
        <v>4</v>
      </c>
      <c r="AB20" s="45" t="str">
        <f t="shared" si="6"/>
        <v xml:space="preserve">   (Over) / Under Recovered Gas Cost</v>
      </c>
      <c r="AC20" s="46">
        <v>0</v>
      </c>
      <c r="AD20" s="46">
        <v>0</v>
      </c>
      <c r="AE20" s="46">
        <v>0</v>
      </c>
      <c r="AF20" s="46">
        <v>0</v>
      </c>
      <c r="AG20" s="46">
        <v>0</v>
      </c>
      <c r="AH20" s="46">
        <v>0</v>
      </c>
      <c r="AI20" s="46">
        <v>0</v>
      </c>
      <c r="AJ20" s="46">
        <v>0</v>
      </c>
      <c r="AK20" s="46">
        <v>0</v>
      </c>
      <c r="AL20" s="46">
        <v>0</v>
      </c>
      <c r="AM20" s="46">
        <v>0</v>
      </c>
      <c r="AN20" s="46">
        <v>0</v>
      </c>
      <c r="AO20" s="46">
        <v>0</v>
      </c>
      <c r="AP20" s="32"/>
      <c r="AQ20" s="43"/>
      <c r="AR20" s="32"/>
      <c r="BA20" s="44" t="str">
        <f t="shared" si="7"/>
        <v>4</v>
      </c>
      <c r="BB20" s="45" t="str">
        <f t="shared" si="8"/>
        <v xml:space="preserve">   (Over) / Under Recovered Gas Cost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0</v>
      </c>
      <c r="BO20" s="46">
        <v>0</v>
      </c>
      <c r="CA20" s="44" t="str">
        <f t="shared" si="9"/>
        <v>4</v>
      </c>
      <c r="CB20" s="45" t="str">
        <f t="shared" si="10"/>
        <v xml:space="preserve">   (Over) / Under Recovered Gas Cost</v>
      </c>
      <c r="CC20" s="135">
        <f t="shared" si="11"/>
        <v>0</v>
      </c>
      <c r="CD20" s="135">
        <f t="shared" si="4"/>
        <v>0</v>
      </c>
      <c r="CE20" s="135">
        <f t="shared" si="4"/>
        <v>0</v>
      </c>
      <c r="CF20" s="135">
        <f t="shared" si="4"/>
        <v>0</v>
      </c>
      <c r="CG20" s="135">
        <f t="shared" si="4"/>
        <v>0</v>
      </c>
      <c r="CH20" s="135">
        <f t="shared" si="4"/>
        <v>0</v>
      </c>
      <c r="CI20" s="135">
        <f t="shared" si="4"/>
        <v>0</v>
      </c>
      <c r="CJ20" s="135">
        <f t="shared" si="4"/>
        <v>0</v>
      </c>
      <c r="CK20" s="135">
        <f t="shared" si="4"/>
        <v>0</v>
      </c>
      <c r="CL20" s="135">
        <f t="shared" si="4"/>
        <v>0</v>
      </c>
      <c r="CM20" s="135">
        <f t="shared" si="4"/>
        <v>0</v>
      </c>
      <c r="CN20" s="135">
        <f t="shared" si="4"/>
        <v>0</v>
      </c>
      <c r="CO20" s="135">
        <f t="shared" si="4"/>
        <v>0</v>
      </c>
      <c r="CP20" s="32"/>
    </row>
    <row r="21" spans="1:94" ht="12" customHeight="1">
      <c r="A21" s="44" t="s">
        <v>195</v>
      </c>
      <c r="B21" s="45" t="s">
        <v>198</v>
      </c>
      <c r="C21" s="43">
        <f>BACKUP!C72</f>
        <v>0</v>
      </c>
      <c r="D21" s="43">
        <f>BACKUP!D72</f>
        <v>0</v>
      </c>
      <c r="E21" s="43">
        <f>BACKUP!E72</f>
        <v>0</v>
      </c>
      <c r="F21" s="43">
        <f>BACKUP!F72</f>
        <v>0</v>
      </c>
      <c r="G21" s="43">
        <f>BACKUP!G72</f>
        <v>0</v>
      </c>
      <c r="H21" s="43">
        <f>BACKUP!H72</f>
        <v>0</v>
      </c>
      <c r="I21" s="43">
        <f>BACKUP!I72</f>
        <v>162</v>
      </c>
      <c r="J21" s="43">
        <f>BACKUP!J72</f>
        <v>162</v>
      </c>
      <c r="K21" s="43">
        <f>BACKUP!K72</f>
        <v>162</v>
      </c>
      <c r="L21" s="43">
        <f>BACKUP!L72</f>
        <v>162</v>
      </c>
      <c r="M21" s="43">
        <f>BACKUP!M72</f>
        <v>162</v>
      </c>
      <c r="N21" s="43">
        <f>BACKUP!N72</f>
        <v>162</v>
      </c>
      <c r="O21" s="43">
        <f>BACKUP!O72</f>
        <v>1242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44" t="str">
        <f t="shared" si="5"/>
        <v>4</v>
      </c>
      <c r="AB21" s="45" t="str">
        <f t="shared" si="6"/>
        <v xml:space="preserve">   Prepayments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I21" s="46">
        <v>0</v>
      </c>
      <c r="AJ21" s="46">
        <v>0</v>
      </c>
      <c r="AK21" s="46">
        <v>0</v>
      </c>
      <c r="AL21" s="46">
        <v>0</v>
      </c>
      <c r="AM21" s="46">
        <v>0</v>
      </c>
      <c r="AN21" s="46">
        <v>0</v>
      </c>
      <c r="AO21" s="46">
        <v>0</v>
      </c>
      <c r="AP21" s="32"/>
      <c r="AQ21" s="43"/>
      <c r="AR21" s="32"/>
      <c r="BA21" s="44" t="str">
        <f t="shared" si="7"/>
        <v>4</v>
      </c>
      <c r="BB21" s="45" t="str">
        <f t="shared" si="8"/>
        <v xml:space="preserve">   Prepayments</v>
      </c>
      <c r="BC21" s="46">
        <v>0</v>
      </c>
      <c r="BD21" s="46">
        <v>0</v>
      </c>
      <c r="BE21" s="46"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0</v>
      </c>
      <c r="BK21" s="46">
        <v>0</v>
      </c>
      <c r="BL21" s="46">
        <v>0</v>
      </c>
      <c r="BM21" s="46">
        <v>0</v>
      </c>
      <c r="BN21" s="46">
        <v>0</v>
      </c>
      <c r="BO21" s="46">
        <v>0</v>
      </c>
      <c r="CA21" s="44" t="str">
        <f t="shared" si="9"/>
        <v>4</v>
      </c>
      <c r="CB21" s="45" t="str">
        <f t="shared" si="10"/>
        <v xml:space="preserve">   Prepayments</v>
      </c>
      <c r="CC21" s="135">
        <f t="shared" si="11"/>
        <v>0</v>
      </c>
      <c r="CD21" s="135">
        <f t="shared" si="4"/>
        <v>0</v>
      </c>
      <c r="CE21" s="135">
        <f t="shared" si="4"/>
        <v>0</v>
      </c>
      <c r="CF21" s="135">
        <f t="shared" si="4"/>
        <v>0</v>
      </c>
      <c r="CG21" s="135">
        <f t="shared" si="4"/>
        <v>0</v>
      </c>
      <c r="CH21" s="135">
        <f t="shared" si="4"/>
        <v>0</v>
      </c>
      <c r="CI21" s="135">
        <f t="shared" si="4"/>
        <v>162</v>
      </c>
      <c r="CJ21" s="135">
        <f t="shared" si="4"/>
        <v>162</v>
      </c>
      <c r="CK21" s="135">
        <f t="shared" si="4"/>
        <v>162</v>
      </c>
      <c r="CL21" s="135">
        <f t="shared" si="4"/>
        <v>162</v>
      </c>
      <c r="CM21" s="135">
        <f t="shared" si="4"/>
        <v>162</v>
      </c>
      <c r="CN21" s="135">
        <f t="shared" si="4"/>
        <v>162</v>
      </c>
      <c r="CO21" s="135">
        <f t="shared" si="4"/>
        <v>1242</v>
      </c>
      <c r="CP21" s="32"/>
    </row>
    <row r="22" spans="1:94" ht="12" customHeight="1">
      <c r="A22" s="44"/>
      <c r="B22" s="55" t="s">
        <v>554</v>
      </c>
      <c r="C22" s="43">
        <f>BACKUP!C97</f>
        <v>8713</v>
      </c>
      <c r="D22" s="43">
        <f>BACKUP!D97</f>
        <v>9693</v>
      </c>
      <c r="E22" s="43">
        <f>BACKUP!E97</f>
        <v>10458</v>
      </c>
      <c r="F22" s="43">
        <f>BACKUP!F97</f>
        <v>8886</v>
      </c>
      <c r="G22" s="43">
        <f>BACKUP!G97</f>
        <v>9318</v>
      </c>
      <c r="H22" s="43">
        <f>BACKUP!H97</f>
        <v>8355</v>
      </c>
      <c r="I22" s="43">
        <f>BACKUP!I97</f>
        <v>8132</v>
      </c>
      <c r="J22" s="43">
        <f>BACKUP!J97</f>
        <v>8534</v>
      </c>
      <c r="K22" s="43">
        <f>BACKUP!K97</f>
        <v>7977</v>
      </c>
      <c r="L22" s="43">
        <f>BACKUP!L97</f>
        <v>10360</v>
      </c>
      <c r="M22" s="43">
        <f>BACKUP!M97</f>
        <v>10567</v>
      </c>
      <c r="N22" s="43">
        <f>BACKUP!N97</f>
        <v>10061</v>
      </c>
      <c r="O22" s="43">
        <f>BACKUP!O97</f>
        <v>10287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44"/>
      <c r="AB22" s="45" t="str">
        <f t="shared" si="6"/>
        <v xml:space="preserve">   Regulatory Assets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0</v>
      </c>
      <c r="AI22" s="46">
        <v>0</v>
      </c>
      <c r="AJ22" s="46">
        <v>0</v>
      </c>
      <c r="AK22" s="46">
        <v>0</v>
      </c>
      <c r="AL22" s="46">
        <v>0</v>
      </c>
      <c r="AM22" s="46">
        <v>0</v>
      </c>
      <c r="AN22" s="46">
        <v>0</v>
      </c>
      <c r="AO22" s="46">
        <v>0</v>
      </c>
      <c r="AP22" s="32"/>
      <c r="AQ22" s="43"/>
      <c r="AR22" s="32"/>
      <c r="BA22" s="44"/>
      <c r="BB22" s="45" t="str">
        <f t="shared" si="8"/>
        <v xml:space="preserve">   Regulatory Assets</v>
      </c>
      <c r="BC22" s="46">
        <v>0</v>
      </c>
      <c r="BD22" s="46">
        <v>0</v>
      </c>
      <c r="BE22" s="46"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0</v>
      </c>
      <c r="BK22" s="46">
        <v>0</v>
      </c>
      <c r="BL22" s="46">
        <v>0</v>
      </c>
      <c r="BM22" s="46">
        <v>0</v>
      </c>
      <c r="BN22" s="46">
        <v>0</v>
      </c>
      <c r="BO22" s="46">
        <v>0</v>
      </c>
      <c r="CA22" s="44"/>
      <c r="CB22" s="45" t="str">
        <f t="shared" si="10"/>
        <v xml:space="preserve">   Regulatory Assets</v>
      </c>
      <c r="CC22" s="135">
        <f t="shared" si="11"/>
        <v>8713</v>
      </c>
      <c r="CD22" s="135">
        <f t="shared" si="4"/>
        <v>9693</v>
      </c>
      <c r="CE22" s="135">
        <f t="shared" si="4"/>
        <v>10458</v>
      </c>
      <c r="CF22" s="135">
        <f t="shared" si="4"/>
        <v>8886</v>
      </c>
      <c r="CG22" s="135">
        <f t="shared" si="4"/>
        <v>9318</v>
      </c>
      <c r="CH22" s="135">
        <f t="shared" si="4"/>
        <v>8355</v>
      </c>
      <c r="CI22" s="135">
        <f t="shared" si="4"/>
        <v>8132</v>
      </c>
      <c r="CJ22" s="135">
        <f t="shared" si="4"/>
        <v>8534</v>
      </c>
      <c r="CK22" s="135">
        <f t="shared" si="4"/>
        <v>7977</v>
      </c>
      <c r="CL22" s="135">
        <f t="shared" si="4"/>
        <v>10360</v>
      </c>
      <c r="CM22" s="135">
        <f t="shared" si="4"/>
        <v>10567</v>
      </c>
      <c r="CN22" s="135">
        <f t="shared" si="4"/>
        <v>10061</v>
      </c>
      <c r="CO22" s="135">
        <f t="shared" si="4"/>
        <v>10287</v>
      </c>
      <c r="CP22" s="32"/>
    </row>
    <row r="23" spans="1:94" ht="12" customHeight="1">
      <c r="A23" s="44" t="s">
        <v>199</v>
      </c>
      <c r="B23" s="45" t="s">
        <v>200</v>
      </c>
      <c r="C23" s="137">
        <f>BACKUP!C184</f>
        <v>0</v>
      </c>
      <c r="D23" s="137">
        <f>BACKUP!D184</f>
        <v>0</v>
      </c>
      <c r="E23" s="137">
        <f>BACKUP!E184</f>
        <v>0</v>
      </c>
      <c r="F23" s="137">
        <f>BACKUP!F184</f>
        <v>0</v>
      </c>
      <c r="G23" s="137">
        <f>BACKUP!G184</f>
        <v>0</v>
      </c>
      <c r="H23" s="137">
        <f>BACKUP!H184</f>
        <v>0</v>
      </c>
      <c r="I23" s="137">
        <f>BACKUP!I184</f>
        <v>0</v>
      </c>
      <c r="J23" s="137">
        <f>BACKUP!J184</f>
        <v>0</v>
      </c>
      <c r="K23" s="137">
        <f>BACKUP!K184</f>
        <v>0</v>
      </c>
      <c r="L23" s="137">
        <f>BACKUP!L184</f>
        <v>0</v>
      </c>
      <c r="M23" s="137">
        <f>BACKUP!M184</f>
        <v>0</v>
      </c>
      <c r="N23" s="137">
        <f>BACKUP!N184</f>
        <v>0</v>
      </c>
      <c r="O23" s="137">
        <f>BACKUP!O184</f>
        <v>0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44" t="str">
        <f t="shared" si="5"/>
        <v>8</v>
      </c>
      <c r="AB23" s="45" t="str">
        <f t="shared" si="6"/>
        <v xml:space="preserve">   Deferred Contract Reformation Costs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46">
        <v>0</v>
      </c>
      <c r="AN23" s="46">
        <v>0</v>
      </c>
      <c r="AO23" s="46">
        <v>0</v>
      </c>
      <c r="AP23" s="32"/>
      <c r="AQ23" s="43"/>
      <c r="AR23" s="32"/>
      <c r="BA23" s="44" t="str">
        <f t="shared" si="7"/>
        <v>8</v>
      </c>
      <c r="BB23" s="45" t="str">
        <f t="shared" si="8"/>
        <v xml:space="preserve">   Deferred Contract Reformation Costs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CA23" s="44" t="str">
        <f t="shared" si="9"/>
        <v>8</v>
      </c>
      <c r="CB23" s="45" t="str">
        <f t="shared" si="10"/>
        <v xml:space="preserve">   Deferred Contract Reformation Costs</v>
      </c>
      <c r="CC23" s="135">
        <f t="shared" si="11"/>
        <v>0</v>
      </c>
      <c r="CD23" s="135">
        <f t="shared" si="4"/>
        <v>0</v>
      </c>
      <c r="CE23" s="135">
        <f t="shared" si="4"/>
        <v>0</v>
      </c>
      <c r="CF23" s="135">
        <f t="shared" si="4"/>
        <v>0</v>
      </c>
      <c r="CG23" s="135">
        <f t="shared" si="4"/>
        <v>0</v>
      </c>
      <c r="CH23" s="135">
        <f t="shared" si="4"/>
        <v>0</v>
      </c>
      <c r="CI23" s="135">
        <f t="shared" si="4"/>
        <v>0</v>
      </c>
      <c r="CJ23" s="135">
        <f t="shared" si="4"/>
        <v>0</v>
      </c>
      <c r="CK23" s="135">
        <f t="shared" si="4"/>
        <v>0</v>
      </c>
      <c r="CL23" s="135">
        <f t="shared" si="4"/>
        <v>0</v>
      </c>
      <c r="CM23" s="135">
        <f t="shared" si="4"/>
        <v>0</v>
      </c>
      <c r="CN23" s="135">
        <f t="shared" si="4"/>
        <v>0</v>
      </c>
      <c r="CO23" s="135">
        <f t="shared" si="4"/>
        <v>0</v>
      </c>
      <c r="CP23" s="32"/>
    </row>
    <row r="24" spans="1:94" ht="12" customHeight="1">
      <c r="A24" s="44" t="s">
        <v>195</v>
      </c>
      <c r="B24" s="45" t="s">
        <v>32</v>
      </c>
      <c r="C24" s="47">
        <f>BACKUP!C111</f>
        <v>1119</v>
      </c>
      <c r="D24" s="47">
        <f>BACKUP!D111</f>
        <v>637</v>
      </c>
      <c r="E24" s="47">
        <f>BACKUP!E111</f>
        <v>5272</v>
      </c>
      <c r="F24" s="47">
        <f>BACKUP!F111</f>
        <v>840</v>
      </c>
      <c r="G24" s="47">
        <f>BACKUP!G111</f>
        <v>839</v>
      </c>
      <c r="H24" s="47">
        <f>BACKUP!H111</f>
        <v>838</v>
      </c>
      <c r="I24" s="47">
        <f>BACKUP!I111</f>
        <v>839</v>
      </c>
      <c r="J24" s="47">
        <f>BACKUP!J111</f>
        <v>841</v>
      </c>
      <c r="K24" s="47">
        <f>BACKUP!K111</f>
        <v>841</v>
      </c>
      <c r="L24" s="47">
        <f>BACKUP!L111</f>
        <v>841</v>
      </c>
      <c r="M24" s="47">
        <f>BACKUP!M111</f>
        <v>841</v>
      </c>
      <c r="N24" s="47">
        <f>BACKUP!N111</f>
        <v>841</v>
      </c>
      <c r="O24" s="47">
        <f>BACKUP!O111</f>
        <v>841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44" t="str">
        <f t="shared" si="5"/>
        <v>4</v>
      </c>
      <c r="AB24" s="45" t="str">
        <f t="shared" si="6"/>
        <v xml:space="preserve">   Other</v>
      </c>
      <c r="AC24" s="197">
        <v>0</v>
      </c>
      <c r="AD24" s="197">
        <v>0</v>
      </c>
      <c r="AE24" s="197">
        <v>0</v>
      </c>
      <c r="AF24" s="197">
        <v>0</v>
      </c>
      <c r="AG24" s="197">
        <v>0</v>
      </c>
      <c r="AH24" s="197">
        <v>0</v>
      </c>
      <c r="AI24" s="197">
        <v>0</v>
      </c>
      <c r="AJ24" s="197">
        <v>0</v>
      </c>
      <c r="AK24" s="197">
        <v>0</v>
      </c>
      <c r="AL24" s="197">
        <v>0</v>
      </c>
      <c r="AM24" s="197">
        <v>0</v>
      </c>
      <c r="AN24" s="197">
        <v>0</v>
      </c>
      <c r="AO24" s="197">
        <v>0</v>
      </c>
      <c r="AP24" s="32"/>
      <c r="AQ24" s="43"/>
      <c r="AR24" s="32"/>
      <c r="BA24" s="44" t="str">
        <f t="shared" si="7"/>
        <v>4</v>
      </c>
      <c r="BB24" s="45" t="str">
        <f t="shared" si="8"/>
        <v xml:space="preserve">   Other</v>
      </c>
      <c r="BC24" s="197">
        <v>0</v>
      </c>
      <c r="BD24" s="197">
        <v>0</v>
      </c>
      <c r="BE24" s="197">
        <v>0</v>
      </c>
      <c r="BF24" s="197">
        <v>0</v>
      </c>
      <c r="BG24" s="197">
        <v>0</v>
      </c>
      <c r="BH24" s="197">
        <v>0</v>
      </c>
      <c r="BI24" s="197">
        <v>0</v>
      </c>
      <c r="BJ24" s="197">
        <v>0</v>
      </c>
      <c r="BK24" s="197">
        <v>0</v>
      </c>
      <c r="BL24" s="197">
        <v>0</v>
      </c>
      <c r="BM24" s="197">
        <v>0</v>
      </c>
      <c r="BN24" s="197">
        <v>0</v>
      </c>
      <c r="BO24" s="197">
        <v>0</v>
      </c>
      <c r="CA24" s="44" t="str">
        <f t="shared" si="9"/>
        <v>4</v>
      </c>
      <c r="CB24" s="45" t="str">
        <f t="shared" si="10"/>
        <v xml:space="preserve">   Other</v>
      </c>
      <c r="CC24" s="48">
        <f t="shared" si="11"/>
        <v>1119</v>
      </c>
      <c r="CD24" s="48">
        <f t="shared" si="4"/>
        <v>637</v>
      </c>
      <c r="CE24" s="48">
        <f t="shared" si="4"/>
        <v>5272</v>
      </c>
      <c r="CF24" s="48">
        <f t="shared" si="4"/>
        <v>840</v>
      </c>
      <c r="CG24" s="48">
        <f t="shared" si="4"/>
        <v>839</v>
      </c>
      <c r="CH24" s="48">
        <f t="shared" si="4"/>
        <v>838</v>
      </c>
      <c r="CI24" s="48">
        <f t="shared" si="4"/>
        <v>839</v>
      </c>
      <c r="CJ24" s="48">
        <f t="shared" si="4"/>
        <v>841</v>
      </c>
      <c r="CK24" s="48">
        <f t="shared" si="4"/>
        <v>841</v>
      </c>
      <c r="CL24" s="48">
        <f t="shared" si="4"/>
        <v>841</v>
      </c>
      <c r="CM24" s="48">
        <f t="shared" si="4"/>
        <v>841</v>
      </c>
      <c r="CN24" s="48">
        <f t="shared" si="4"/>
        <v>841</v>
      </c>
      <c r="CO24" s="48">
        <f t="shared" si="4"/>
        <v>841</v>
      </c>
      <c r="CP24" s="32"/>
    </row>
    <row r="25" spans="1:94" ht="3.9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BA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</row>
    <row r="26" spans="1:94">
      <c r="A26" s="29"/>
      <c r="B26" s="30" t="s">
        <v>201</v>
      </c>
      <c r="C26" s="47">
        <f t="shared" ref="C26:O26" si="14">SUM(C12:C25)</f>
        <v>459496</v>
      </c>
      <c r="D26" s="47">
        <f t="shared" si="14"/>
        <v>497323</v>
      </c>
      <c r="E26" s="47">
        <f t="shared" si="14"/>
        <v>459620</v>
      </c>
      <c r="F26" s="47">
        <f t="shared" si="14"/>
        <v>466993</v>
      </c>
      <c r="G26" s="47">
        <f t="shared" si="14"/>
        <v>494708</v>
      </c>
      <c r="H26" s="47">
        <f t="shared" si="14"/>
        <v>490801</v>
      </c>
      <c r="I26" s="47">
        <f t="shared" si="14"/>
        <v>502754</v>
      </c>
      <c r="J26" s="47">
        <f t="shared" si="14"/>
        <v>495585</v>
      </c>
      <c r="K26" s="47">
        <f t="shared" si="14"/>
        <v>507013</v>
      </c>
      <c r="L26" s="47">
        <f t="shared" si="14"/>
        <v>502247</v>
      </c>
      <c r="M26" s="47">
        <f t="shared" si="14"/>
        <v>485235</v>
      </c>
      <c r="N26" s="47">
        <f t="shared" si="14"/>
        <v>491716</v>
      </c>
      <c r="O26" s="47">
        <f t="shared" si="14"/>
        <v>479920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29"/>
      <c r="AB26" s="30" t="str">
        <f>B26</f>
        <v xml:space="preserve">      Total Current Assets</v>
      </c>
      <c r="AC26" s="47">
        <f t="shared" ref="AC26:AO26" si="15">SUM(AC12:AC25)</f>
        <v>26553</v>
      </c>
      <c r="AD26" s="47">
        <f t="shared" si="15"/>
        <v>26284</v>
      </c>
      <c r="AE26" s="47">
        <f t="shared" si="15"/>
        <v>26085</v>
      </c>
      <c r="AF26" s="47">
        <f t="shared" si="15"/>
        <v>21652</v>
      </c>
      <c r="AG26" s="47">
        <f t="shared" si="15"/>
        <v>21118</v>
      </c>
      <c r="AH26" s="47">
        <f t="shared" si="15"/>
        <v>20921</v>
      </c>
      <c r="AI26" s="47">
        <f t="shared" si="15"/>
        <v>24484</v>
      </c>
      <c r="AJ26" s="47">
        <f t="shared" si="15"/>
        <v>24282</v>
      </c>
      <c r="AK26" s="47">
        <f t="shared" si="15"/>
        <v>26102</v>
      </c>
      <c r="AL26" s="47">
        <f t="shared" si="15"/>
        <v>26702</v>
      </c>
      <c r="AM26" s="47">
        <f t="shared" si="15"/>
        <v>26458</v>
      </c>
      <c r="AN26" s="47">
        <f t="shared" si="15"/>
        <v>26200</v>
      </c>
      <c r="AO26" s="47">
        <f t="shared" si="15"/>
        <v>26999</v>
      </c>
      <c r="AP26" s="32"/>
      <c r="AQ26" s="43"/>
      <c r="AR26" s="32"/>
      <c r="BA26" s="29"/>
      <c r="BB26" s="30" t="str">
        <f>B26</f>
        <v xml:space="preserve">      Total Current Assets</v>
      </c>
      <c r="BC26" s="47">
        <f t="shared" ref="BC26:BO26" si="16">SUM(BC12:BC25)</f>
        <v>80</v>
      </c>
      <c r="BD26" s="47">
        <f t="shared" si="16"/>
        <v>80</v>
      </c>
      <c r="BE26" s="47">
        <f t="shared" si="16"/>
        <v>80</v>
      </c>
      <c r="BF26" s="47">
        <f t="shared" si="16"/>
        <v>80</v>
      </c>
      <c r="BG26" s="47">
        <f t="shared" si="16"/>
        <v>80</v>
      </c>
      <c r="BH26" s="47">
        <f t="shared" si="16"/>
        <v>80</v>
      </c>
      <c r="BI26" s="47">
        <f t="shared" si="16"/>
        <v>80</v>
      </c>
      <c r="BJ26" s="47">
        <f t="shared" si="16"/>
        <v>80</v>
      </c>
      <c r="BK26" s="47">
        <f t="shared" si="16"/>
        <v>80</v>
      </c>
      <c r="BL26" s="47">
        <f t="shared" si="16"/>
        <v>80</v>
      </c>
      <c r="BM26" s="47">
        <f t="shared" si="16"/>
        <v>80</v>
      </c>
      <c r="BN26" s="47">
        <f t="shared" si="16"/>
        <v>80</v>
      </c>
      <c r="BO26" s="47">
        <f t="shared" si="16"/>
        <v>80</v>
      </c>
      <c r="CA26" s="29"/>
      <c r="CB26" s="30" t="str">
        <f>B26</f>
        <v xml:space="preserve">      Total Current Assets</v>
      </c>
      <c r="CC26" s="47">
        <f t="shared" ref="CC26:CO26" si="17">SUM(CC12:CC25)</f>
        <v>432863</v>
      </c>
      <c r="CD26" s="47">
        <f t="shared" si="17"/>
        <v>470959</v>
      </c>
      <c r="CE26" s="47">
        <f t="shared" si="17"/>
        <v>433455</v>
      </c>
      <c r="CF26" s="47">
        <f t="shared" si="17"/>
        <v>445261</v>
      </c>
      <c r="CG26" s="47">
        <f t="shared" si="17"/>
        <v>473510</v>
      </c>
      <c r="CH26" s="47">
        <f t="shared" si="17"/>
        <v>469800</v>
      </c>
      <c r="CI26" s="47">
        <f t="shared" si="17"/>
        <v>478190</v>
      </c>
      <c r="CJ26" s="47">
        <f t="shared" si="17"/>
        <v>471223</v>
      </c>
      <c r="CK26" s="47">
        <f t="shared" si="17"/>
        <v>480831</v>
      </c>
      <c r="CL26" s="47">
        <f t="shared" si="17"/>
        <v>475465</v>
      </c>
      <c r="CM26" s="47">
        <f t="shared" si="17"/>
        <v>458697</v>
      </c>
      <c r="CN26" s="47">
        <f t="shared" si="17"/>
        <v>465436</v>
      </c>
      <c r="CO26" s="47">
        <f t="shared" si="17"/>
        <v>452841</v>
      </c>
      <c r="CP26" s="32"/>
    </row>
    <row r="27" spans="1:94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BA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</row>
    <row r="28" spans="1:94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43"/>
      <c r="AR28" s="32"/>
      <c r="BA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</row>
    <row r="29" spans="1:94">
      <c r="A29" s="29"/>
      <c r="B29" s="30" t="s">
        <v>202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29"/>
      <c r="AB29" s="30" t="str">
        <f>B29</f>
        <v>INVESTMENTS AND OTHER ASSETS</v>
      </c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43"/>
      <c r="AR29" s="32"/>
      <c r="BA29" s="29"/>
      <c r="BB29" s="30" t="str">
        <f>B29</f>
        <v>INVESTMENTS AND OTHER ASSETS</v>
      </c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CA29" s="29"/>
      <c r="CB29" s="30" t="str">
        <f>B29</f>
        <v>INVESTMENTS AND OTHER ASSETS</v>
      </c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</row>
    <row r="30" spans="1:94">
      <c r="A30" s="44" t="s">
        <v>203</v>
      </c>
      <c r="B30" s="45" t="s">
        <v>204</v>
      </c>
      <c r="C30" s="43">
        <f>BACKUP!C123</f>
        <v>48163</v>
      </c>
      <c r="D30" s="43">
        <f>BACKUP!D123</f>
        <v>48660</v>
      </c>
      <c r="E30" s="43">
        <f>BACKUP!E123</f>
        <v>48961</v>
      </c>
      <c r="F30" s="43">
        <f>BACKUP!F123</f>
        <v>48445</v>
      </c>
      <c r="G30" s="43">
        <f>BACKUP!G123</f>
        <v>49702</v>
      </c>
      <c r="H30" s="43">
        <f>BACKUP!H123</f>
        <v>49991</v>
      </c>
      <c r="I30" s="43">
        <f>BACKUP!I123</f>
        <v>46599</v>
      </c>
      <c r="J30" s="43">
        <f>BACKUP!J123</f>
        <v>46906</v>
      </c>
      <c r="K30" s="43">
        <f>BACKUP!K123</f>
        <v>45148</v>
      </c>
      <c r="L30" s="43">
        <f>BACKUP!L123</f>
        <v>44644</v>
      </c>
      <c r="M30" s="43">
        <f>BACKUP!M123</f>
        <v>44941</v>
      </c>
      <c r="N30" s="43">
        <f>BACKUP!N123</f>
        <v>45255</v>
      </c>
      <c r="O30" s="43">
        <f>BACKUP!O123</f>
        <v>44443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44" t="str">
        <f>A30</f>
        <v>5</v>
      </c>
      <c r="AB30" s="45" t="str">
        <f>B30</f>
        <v xml:space="preserve">   Pipeline Partnerships</v>
      </c>
      <c r="AC30" s="135">
        <f>C30</f>
        <v>48163</v>
      </c>
      <c r="AD30" s="135">
        <f>D30</f>
        <v>48660</v>
      </c>
      <c r="AE30" s="135">
        <f>E30</f>
        <v>48961</v>
      </c>
      <c r="AF30" s="135">
        <f>F30</f>
        <v>48445</v>
      </c>
      <c r="AG30" s="135">
        <f>G30</f>
        <v>49702</v>
      </c>
      <c r="AH30" s="135">
        <f t="shared" ref="AH30:AO30" si="18">H30</f>
        <v>49991</v>
      </c>
      <c r="AI30" s="135">
        <f t="shared" si="18"/>
        <v>46599</v>
      </c>
      <c r="AJ30" s="135">
        <f t="shared" si="18"/>
        <v>46906</v>
      </c>
      <c r="AK30" s="135">
        <f>K30</f>
        <v>45148</v>
      </c>
      <c r="AL30" s="135">
        <f t="shared" si="18"/>
        <v>44644</v>
      </c>
      <c r="AM30" s="135">
        <f t="shared" si="18"/>
        <v>44941</v>
      </c>
      <c r="AN30" s="135">
        <f t="shared" si="18"/>
        <v>45255</v>
      </c>
      <c r="AO30" s="135">
        <f t="shared" si="18"/>
        <v>44443</v>
      </c>
      <c r="AP30" s="32"/>
      <c r="AQ30" s="43"/>
      <c r="AR30" s="32"/>
      <c r="BA30" s="44" t="str">
        <f>AA30</f>
        <v>5</v>
      </c>
      <c r="BB30" s="45" t="str">
        <f>B30</f>
        <v xml:space="preserve">   Pipeline Partnerships</v>
      </c>
      <c r="BC30" s="46">
        <v>0</v>
      </c>
      <c r="BD30" s="46">
        <v>0</v>
      </c>
      <c r="BE30" s="46"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0</v>
      </c>
      <c r="BK30" s="46">
        <v>0</v>
      </c>
      <c r="BL30" s="46">
        <v>0</v>
      </c>
      <c r="BM30" s="46">
        <v>0</v>
      </c>
      <c r="BN30" s="46">
        <v>0</v>
      </c>
      <c r="BO30" s="46">
        <v>0</v>
      </c>
      <c r="CA30" s="44" t="str">
        <f>A30</f>
        <v>5</v>
      </c>
      <c r="CB30" s="45" t="str">
        <f>B30</f>
        <v xml:space="preserve">   Pipeline Partnerships</v>
      </c>
      <c r="CC30" s="135">
        <f t="shared" ref="CC30:CO32" si="19">C30-AC30-BC30</f>
        <v>0</v>
      </c>
      <c r="CD30" s="135">
        <f t="shared" si="19"/>
        <v>0</v>
      </c>
      <c r="CE30" s="135">
        <f t="shared" si="19"/>
        <v>0</v>
      </c>
      <c r="CF30" s="135">
        <f t="shared" si="19"/>
        <v>0</v>
      </c>
      <c r="CG30" s="135">
        <f t="shared" si="19"/>
        <v>0</v>
      </c>
      <c r="CH30" s="135">
        <f t="shared" si="19"/>
        <v>0</v>
      </c>
      <c r="CI30" s="135">
        <f t="shared" si="19"/>
        <v>0</v>
      </c>
      <c r="CJ30" s="135">
        <f t="shared" si="19"/>
        <v>0</v>
      </c>
      <c r="CK30" s="135">
        <f t="shared" si="19"/>
        <v>0</v>
      </c>
      <c r="CL30" s="135">
        <f t="shared" si="19"/>
        <v>0</v>
      </c>
      <c r="CM30" s="135">
        <f t="shared" si="19"/>
        <v>0</v>
      </c>
      <c r="CN30" s="135">
        <f t="shared" si="19"/>
        <v>0</v>
      </c>
      <c r="CO30" s="135">
        <f t="shared" si="19"/>
        <v>0</v>
      </c>
      <c r="CP30" s="32"/>
    </row>
    <row r="31" spans="1:94">
      <c r="A31" s="44"/>
      <c r="B31" s="55" t="s">
        <v>557</v>
      </c>
      <c r="C31" s="43">
        <f>BACKUP!C144</f>
        <v>28904</v>
      </c>
      <c r="D31" s="43">
        <f>BACKUP!D144</f>
        <v>34674</v>
      </c>
      <c r="E31" s="43">
        <f>BACKUP!E144</f>
        <v>40965</v>
      </c>
      <c r="F31" s="43">
        <f>BACKUP!F144</f>
        <v>38317</v>
      </c>
      <c r="G31" s="43">
        <f>BACKUP!G144</f>
        <v>39856</v>
      </c>
      <c r="H31" s="43">
        <f>BACKUP!H144</f>
        <v>27978</v>
      </c>
      <c r="I31" s="43">
        <f>BACKUP!I144</f>
        <v>14302</v>
      </c>
      <c r="J31" s="43">
        <f>BACKUP!J144</f>
        <v>12478</v>
      </c>
      <c r="K31" s="43">
        <f>BACKUP!K144</f>
        <v>12478</v>
      </c>
      <c r="L31" s="43">
        <f>BACKUP!L144</f>
        <v>12478</v>
      </c>
      <c r="M31" s="43">
        <f>BACKUP!M144</f>
        <v>12478</v>
      </c>
      <c r="N31" s="43">
        <f>BACKUP!N144</f>
        <v>12478</v>
      </c>
      <c r="O31" s="43">
        <f>BACKUP!O144</f>
        <v>12478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44"/>
      <c r="AB31" s="45" t="str">
        <f>B31</f>
        <v xml:space="preserve">   Asset Price Risk Management</v>
      </c>
      <c r="AC31" s="46">
        <v>0</v>
      </c>
      <c r="AD31" s="46">
        <v>0</v>
      </c>
      <c r="AE31" s="46">
        <v>0</v>
      </c>
      <c r="AF31" s="46">
        <v>0</v>
      </c>
      <c r="AG31" s="46">
        <v>0</v>
      </c>
      <c r="AH31" s="46">
        <v>0</v>
      </c>
      <c r="AI31" s="46">
        <v>0</v>
      </c>
      <c r="AJ31" s="46">
        <v>0</v>
      </c>
      <c r="AK31" s="46">
        <v>0</v>
      </c>
      <c r="AL31" s="46">
        <v>0</v>
      </c>
      <c r="AM31" s="46">
        <v>0</v>
      </c>
      <c r="AN31" s="46">
        <v>0</v>
      </c>
      <c r="AO31" s="46">
        <v>0</v>
      </c>
      <c r="AP31" s="32"/>
      <c r="AQ31" s="43"/>
      <c r="AR31" s="32"/>
      <c r="BA31" s="44"/>
      <c r="BB31" s="45" t="str">
        <f>B31</f>
        <v xml:space="preserve">   Asset Price Risk Management</v>
      </c>
      <c r="BC31" s="46">
        <v>0</v>
      </c>
      <c r="BD31" s="46">
        <v>0</v>
      </c>
      <c r="BE31" s="46"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0</v>
      </c>
      <c r="BK31" s="46">
        <v>0</v>
      </c>
      <c r="BL31" s="46">
        <v>0</v>
      </c>
      <c r="BM31" s="46">
        <v>0</v>
      </c>
      <c r="BN31" s="46">
        <v>0</v>
      </c>
      <c r="BO31" s="46">
        <v>0</v>
      </c>
      <c r="CA31" s="44"/>
      <c r="CB31" s="45" t="str">
        <f>B31</f>
        <v xml:space="preserve">   Asset Price Risk Management</v>
      </c>
      <c r="CC31" s="135">
        <f t="shared" si="19"/>
        <v>28904</v>
      </c>
      <c r="CD31" s="135">
        <f t="shared" si="19"/>
        <v>34674</v>
      </c>
      <c r="CE31" s="135">
        <f t="shared" si="19"/>
        <v>40965</v>
      </c>
      <c r="CF31" s="135">
        <f t="shared" si="19"/>
        <v>38317</v>
      </c>
      <c r="CG31" s="135">
        <f t="shared" si="19"/>
        <v>39856</v>
      </c>
      <c r="CH31" s="135">
        <f t="shared" si="19"/>
        <v>27978</v>
      </c>
      <c r="CI31" s="135">
        <f t="shared" si="19"/>
        <v>14302</v>
      </c>
      <c r="CJ31" s="135">
        <f t="shared" si="19"/>
        <v>12478</v>
      </c>
      <c r="CK31" s="135">
        <f t="shared" si="19"/>
        <v>12478</v>
      </c>
      <c r="CL31" s="135">
        <f t="shared" si="19"/>
        <v>12478</v>
      </c>
      <c r="CM31" s="135">
        <f t="shared" si="19"/>
        <v>12478</v>
      </c>
      <c r="CN31" s="135">
        <f t="shared" si="19"/>
        <v>12478</v>
      </c>
      <c r="CO31" s="135">
        <f t="shared" si="19"/>
        <v>12478</v>
      </c>
      <c r="CP31" s="32"/>
    </row>
    <row r="32" spans="1:94">
      <c r="A32" s="44" t="s">
        <v>203</v>
      </c>
      <c r="B32" s="45" t="s">
        <v>32</v>
      </c>
      <c r="C32" s="47">
        <f>BACKUP!C132</f>
        <v>3728</v>
      </c>
      <c r="D32" s="47">
        <f>BACKUP!D132</f>
        <v>3728</v>
      </c>
      <c r="E32" s="47">
        <f>BACKUP!E132</f>
        <v>3728</v>
      </c>
      <c r="F32" s="47">
        <f>BACKUP!F132</f>
        <v>3728</v>
      </c>
      <c r="G32" s="47">
        <f>BACKUP!G132</f>
        <v>3728</v>
      </c>
      <c r="H32" s="47">
        <f>BACKUP!H132</f>
        <v>3728</v>
      </c>
      <c r="I32" s="47">
        <f>BACKUP!I132</f>
        <v>3728</v>
      </c>
      <c r="J32" s="47">
        <f>BACKUP!J132</f>
        <v>3728</v>
      </c>
      <c r="K32" s="47">
        <f>BACKUP!K132</f>
        <v>3728</v>
      </c>
      <c r="L32" s="47">
        <f>BACKUP!L132</f>
        <v>3728</v>
      </c>
      <c r="M32" s="47">
        <f>BACKUP!M132</f>
        <v>3728</v>
      </c>
      <c r="N32" s="47">
        <f>BACKUP!N132</f>
        <v>3728</v>
      </c>
      <c r="O32" s="47">
        <f>BACKUP!O132</f>
        <v>3728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44" t="str">
        <f>A32</f>
        <v>5</v>
      </c>
      <c r="AB32" s="45" t="str">
        <f>B32</f>
        <v xml:space="preserve">   Other</v>
      </c>
      <c r="AC32" s="197">
        <v>0</v>
      </c>
      <c r="AD32" s="197">
        <v>0</v>
      </c>
      <c r="AE32" s="197">
        <v>0</v>
      </c>
      <c r="AF32" s="197">
        <v>0</v>
      </c>
      <c r="AG32" s="197">
        <v>0</v>
      </c>
      <c r="AH32" s="197">
        <v>0</v>
      </c>
      <c r="AI32" s="197">
        <v>0</v>
      </c>
      <c r="AJ32" s="197">
        <v>0</v>
      </c>
      <c r="AK32" s="197">
        <v>0</v>
      </c>
      <c r="AL32" s="197">
        <v>0</v>
      </c>
      <c r="AM32" s="197">
        <v>0</v>
      </c>
      <c r="AN32" s="197">
        <v>0</v>
      </c>
      <c r="AO32" s="197">
        <v>0</v>
      </c>
      <c r="AP32" s="32"/>
      <c r="AQ32" s="43"/>
      <c r="AR32" s="32"/>
      <c r="BA32" s="44" t="str">
        <f>AA32</f>
        <v>5</v>
      </c>
      <c r="BB32" s="45" t="str">
        <f>B32</f>
        <v xml:space="preserve">   Other</v>
      </c>
      <c r="BC32" s="197">
        <v>0</v>
      </c>
      <c r="BD32" s="197">
        <v>0</v>
      </c>
      <c r="BE32" s="197">
        <v>0</v>
      </c>
      <c r="BF32" s="197">
        <v>0</v>
      </c>
      <c r="BG32" s="197">
        <v>0</v>
      </c>
      <c r="BH32" s="197">
        <v>0</v>
      </c>
      <c r="BI32" s="197">
        <v>0</v>
      </c>
      <c r="BJ32" s="197">
        <v>0</v>
      </c>
      <c r="BK32" s="197">
        <v>0</v>
      </c>
      <c r="BL32" s="197">
        <v>0</v>
      </c>
      <c r="BM32" s="197">
        <v>0</v>
      </c>
      <c r="BN32" s="197">
        <v>0</v>
      </c>
      <c r="BO32" s="197">
        <v>0</v>
      </c>
      <c r="CA32" s="44" t="str">
        <f>A32</f>
        <v>5</v>
      </c>
      <c r="CB32" s="45" t="str">
        <f>B32</f>
        <v xml:space="preserve">   Other</v>
      </c>
      <c r="CC32" s="48">
        <f t="shared" si="19"/>
        <v>3728</v>
      </c>
      <c r="CD32" s="48">
        <f t="shared" si="19"/>
        <v>3728</v>
      </c>
      <c r="CE32" s="48">
        <f t="shared" si="19"/>
        <v>3728</v>
      </c>
      <c r="CF32" s="48">
        <f t="shared" si="19"/>
        <v>3728</v>
      </c>
      <c r="CG32" s="48">
        <f t="shared" si="19"/>
        <v>3728</v>
      </c>
      <c r="CH32" s="48">
        <f t="shared" si="19"/>
        <v>3728</v>
      </c>
      <c r="CI32" s="48">
        <f t="shared" si="19"/>
        <v>3728</v>
      </c>
      <c r="CJ32" s="48">
        <f t="shared" si="19"/>
        <v>3728</v>
      </c>
      <c r="CK32" s="48">
        <f t="shared" si="19"/>
        <v>3728</v>
      </c>
      <c r="CL32" s="48">
        <f t="shared" si="19"/>
        <v>3728</v>
      </c>
      <c r="CM32" s="48">
        <f t="shared" si="19"/>
        <v>3728</v>
      </c>
      <c r="CN32" s="48">
        <f t="shared" si="19"/>
        <v>3728</v>
      </c>
      <c r="CO32" s="48">
        <f t="shared" si="19"/>
        <v>3728</v>
      </c>
      <c r="CP32" s="32"/>
    </row>
    <row r="33" spans="1:94" ht="3.9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BA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</row>
    <row r="34" spans="1:94">
      <c r="A34" s="29"/>
      <c r="B34" s="30" t="s">
        <v>205</v>
      </c>
      <c r="C34" s="47">
        <f t="shared" ref="C34:O34" si="20">SUM(C30:C33)</f>
        <v>80795</v>
      </c>
      <c r="D34" s="47">
        <f t="shared" si="20"/>
        <v>87062</v>
      </c>
      <c r="E34" s="47">
        <f t="shared" si="20"/>
        <v>93654</v>
      </c>
      <c r="F34" s="47">
        <f t="shared" si="20"/>
        <v>90490</v>
      </c>
      <c r="G34" s="47">
        <f t="shared" si="20"/>
        <v>93286</v>
      </c>
      <c r="H34" s="47">
        <f t="shared" si="20"/>
        <v>81697</v>
      </c>
      <c r="I34" s="47">
        <f t="shared" si="20"/>
        <v>64629</v>
      </c>
      <c r="J34" s="47">
        <f t="shared" si="20"/>
        <v>63112</v>
      </c>
      <c r="K34" s="47">
        <f t="shared" si="20"/>
        <v>61354</v>
      </c>
      <c r="L34" s="47">
        <f t="shared" si="20"/>
        <v>60850</v>
      </c>
      <c r="M34" s="47">
        <f t="shared" si="20"/>
        <v>61147</v>
      </c>
      <c r="N34" s="47">
        <f t="shared" si="20"/>
        <v>61461</v>
      </c>
      <c r="O34" s="47">
        <f t="shared" si="20"/>
        <v>60649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29"/>
      <c r="AB34" s="30" t="str">
        <f>B34</f>
        <v xml:space="preserve">      Total Investments &amp; Other Assets</v>
      </c>
      <c r="AC34" s="47">
        <f t="shared" ref="AC34:AO34" si="21">SUM(AC30:AC33)</f>
        <v>48163</v>
      </c>
      <c r="AD34" s="47">
        <f t="shared" si="21"/>
        <v>48660</v>
      </c>
      <c r="AE34" s="47">
        <f t="shared" si="21"/>
        <v>48961</v>
      </c>
      <c r="AF34" s="47">
        <f t="shared" si="21"/>
        <v>48445</v>
      </c>
      <c r="AG34" s="47">
        <f t="shared" si="21"/>
        <v>49702</v>
      </c>
      <c r="AH34" s="47">
        <f t="shared" si="21"/>
        <v>49991</v>
      </c>
      <c r="AI34" s="47">
        <f t="shared" si="21"/>
        <v>46599</v>
      </c>
      <c r="AJ34" s="47">
        <f t="shared" si="21"/>
        <v>46906</v>
      </c>
      <c r="AK34" s="47">
        <f t="shared" si="21"/>
        <v>45148</v>
      </c>
      <c r="AL34" s="47">
        <f t="shared" si="21"/>
        <v>44644</v>
      </c>
      <c r="AM34" s="47">
        <f t="shared" si="21"/>
        <v>44941</v>
      </c>
      <c r="AN34" s="47">
        <f t="shared" si="21"/>
        <v>45255</v>
      </c>
      <c r="AO34" s="47">
        <f t="shared" si="21"/>
        <v>44443</v>
      </c>
      <c r="AP34" s="32"/>
      <c r="AQ34" s="43"/>
      <c r="AR34" s="32"/>
      <c r="BA34" s="29"/>
      <c r="BB34" s="30" t="str">
        <f>B34</f>
        <v xml:space="preserve">      Total Investments &amp; Other Assets</v>
      </c>
      <c r="BC34" s="47">
        <f t="shared" ref="BC34:BO34" si="22">SUM(BC30:BC33)</f>
        <v>0</v>
      </c>
      <c r="BD34" s="47">
        <f t="shared" si="22"/>
        <v>0</v>
      </c>
      <c r="BE34" s="47">
        <f t="shared" si="22"/>
        <v>0</v>
      </c>
      <c r="BF34" s="47">
        <f t="shared" si="22"/>
        <v>0</v>
      </c>
      <c r="BG34" s="47">
        <f t="shared" si="22"/>
        <v>0</v>
      </c>
      <c r="BH34" s="47">
        <f t="shared" si="22"/>
        <v>0</v>
      </c>
      <c r="BI34" s="47">
        <f t="shared" si="22"/>
        <v>0</v>
      </c>
      <c r="BJ34" s="47">
        <f t="shared" si="22"/>
        <v>0</v>
      </c>
      <c r="BK34" s="47">
        <f t="shared" si="22"/>
        <v>0</v>
      </c>
      <c r="BL34" s="47">
        <f t="shared" si="22"/>
        <v>0</v>
      </c>
      <c r="BM34" s="47">
        <f t="shared" si="22"/>
        <v>0</v>
      </c>
      <c r="BN34" s="47">
        <f t="shared" si="22"/>
        <v>0</v>
      </c>
      <c r="BO34" s="47">
        <f t="shared" si="22"/>
        <v>0</v>
      </c>
      <c r="CA34" s="29"/>
      <c r="CB34" s="30" t="str">
        <f>B34</f>
        <v xml:space="preserve">      Total Investments &amp; Other Assets</v>
      </c>
      <c r="CC34" s="47">
        <f t="shared" ref="CC34:CO34" si="23">SUM(CC30:CC33)</f>
        <v>32632</v>
      </c>
      <c r="CD34" s="47">
        <f t="shared" si="23"/>
        <v>38402</v>
      </c>
      <c r="CE34" s="47">
        <f t="shared" si="23"/>
        <v>44693</v>
      </c>
      <c r="CF34" s="47">
        <f t="shared" si="23"/>
        <v>42045</v>
      </c>
      <c r="CG34" s="47">
        <f t="shared" si="23"/>
        <v>43584</v>
      </c>
      <c r="CH34" s="47">
        <f t="shared" si="23"/>
        <v>31706</v>
      </c>
      <c r="CI34" s="47">
        <f t="shared" si="23"/>
        <v>18030</v>
      </c>
      <c r="CJ34" s="47">
        <f t="shared" si="23"/>
        <v>16206</v>
      </c>
      <c r="CK34" s="47">
        <f t="shared" si="23"/>
        <v>16206</v>
      </c>
      <c r="CL34" s="47">
        <f t="shared" si="23"/>
        <v>16206</v>
      </c>
      <c r="CM34" s="47">
        <f t="shared" si="23"/>
        <v>16206</v>
      </c>
      <c r="CN34" s="47">
        <f t="shared" si="23"/>
        <v>16206</v>
      </c>
      <c r="CO34" s="47">
        <f t="shared" si="23"/>
        <v>16206</v>
      </c>
      <c r="CP34" s="32"/>
    </row>
    <row r="35" spans="1:94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BA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</row>
    <row r="36" spans="1:94">
      <c r="A36" s="32"/>
      <c r="B36" s="3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32"/>
      <c r="AQ36" s="43"/>
      <c r="AR36" s="32"/>
      <c r="BA36" s="32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CA36" s="32"/>
      <c r="CB36" s="32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32"/>
    </row>
    <row r="37" spans="1:94">
      <c r="A37" s="29"/>
      <c r="B37" s="30" t="s">
        <v>206</v>
      </c>
      <c r="C37" s="43">
        <f>BACKUP!C161</f>
        <v>2743864</v>
      </c>
      <c r="D37" s="43">
        <f>BACKUP!D161</f>
        <v>2789700</v>
      </c>
      <c r="E37" s="43">
        <f>BACKUP!E161</f>
        <v>2799985</v>
      </c>
      <c r="F37" s="43">
        <f>BACKUP!F161</f>
        <v>2802242</v>
      </c>
      <c r="G37" s="43">
        <f>BACKUP!G161</f>
        <v>2797139</v>
      </c>
      <c r="H37" s="43">
        <f>BACKUP!H161</f>
        <v>2796071</v>
      </c>
      <c r="I37" s="43">
        <f>BACKUP!I161</f>
        <v>2790132</v>
      </c>
      <c r="J37" s="43">
        <f>BACKUP!J161</f>
        <v>2774979</v>
      </c>
      <c r="K37" s="43">
        <f>BACKUP!K161</f>
        <v>2783475</v>
      </c>
      <c r="L37" s="43">
        <f>BACKUP!L161</f>
        <v>2794875</v>
      </c>
      <c r="M37" s="43">
        <f>BACKUP!M161</f>
        <v>2803836</v>
      </c>
      <c r="N37" s="43">
        <f>BACKUP!N161</f>
        <v>2812795</v>
      </c>
      <c r="O37" s="43">
        <f>BACKUP!O161</f>
        <v>2817365</v>
      </c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29"/>
      <c r="AB37" s="30" t="str">
        <f>B37</f>
        <v>PLANT</v>
      </c>
      <c r="AC37" s="46">
        <v>0</v>
      </c>
      <c r="AD37" s="135">
        <f>AC37</f>
        <v>0</v>
      </c>
      <c r="AE37" s="135">
        <f>AD37</f>
        <v>0</v>
      </c>
      <c r="AF37" s="135">
        <f t="shared" ref="AF37:AO37" si="24">AE37</f>
        <v>0</v>
      </c>
      <c r="AG37" s="135">
        <f t="shared" si="24"/>
        <v>0</v>
      </c>
      <c r="AH37" s="135">
        <f t="shared" si="24"/>
        <v>0</v>
      </c>
      <c r="AI37" s="135">
        <f t="shared" si="24"/>
        <v>0</v>
      </c>
      <c r="AJ37" s="135">
        <f t="shared" si="24"/>
        <v>0</v>
      </c>
      <c r="AK37" s="135">
        <f t="shared" si="24"/>
        <v>0</v>
      </c>
      <c r="AL37" s="135">
        <f t="shared" si="24"/>
        <v>0</v>
      </c>
      <c r="AM37" s="135">
        <f t="shared" si="24"/>
        <v>0</v>
      </c>
      <c r="AN37" s="135">
        <f t="shared" si="24"/>
        <v>0</v>
      </c>
      <c r="AO37" s="135">
        <f t="shared" si="24"/>
        <v>0</v>
      </c>
      <c r="AP37" s="32"/>
      <c r="AQ37" s="43"/>
      <c r="AR37" s="32"/>
      <c r="BA37" s="29"/>
      <c r="BB37" s="30" t="str">
        <f>B37</f>
        <v>PLANT</v>
      </c>
      <c r="BC37" s="46">
        <v>25124</v>
      </c>
      <c r="BD37" s="135">
        <f>BC37</f>
        <v>25124</v>
      </c>
      <c r="BE37" s="135">
        <f>BD37</f>
        <v>25124</v>
      </c>
      <c r="BF37" s="135">
        <f t="shared" ref="BF37:BO37" si="25">BE37</f>
        <v>25124</v>
      </c>
      <c r="BG37" s="135">
        <f t="shared" si="25"/>
        <v>25124</v>
      </c>
      <c r="BH37" s="135">
        <f t="shared" si="25"/>
        <v>25124</v>
      </c>
      <c r="BI37" s="135">
        <f t="shared" si="25"/>
        <v>25124</v>
      </c>
      <c r="BJ37" s="135">
        <f t="shared" si="25"/>
        <v>25124</v>
      </c>
      <c r="BK37" s="135">
        <f t="shared" si="25"/>
        <v>25124</v>
      </c>
      <c r="BL37" s="135">
        <f t="shared" si="25"/>
        <v>25124</v>
      </c>
      <c r="BM37" s="135">
        <f t="shared" si="25"/>
        <v>25124</v>
      </c>
      <c r="BN37" s="135">
        <f t="shared" si="25"/>
        <v>25124</v>
      </c>
      <c r="BO37" s="135">
        <f t="shared" si="25"/>
        <v>25124</v>
      </c>
      <c r="CA37" s="29"/>
      <c r="CB37" s="30" t="str">
        <f>B37</f>
        <v>PLANT</v>
      </c>
      <c r="CC37" s="135">
        <f t="shared" ref="CC37:CO38" si="26">C37-AC37-BC37</f>
        <v>2718740</v>
      </c>
      <c r="CD37" s="135">
        <f t="shared" si="26"/>
        <v>2764576</v>
      </c>
      <c r="CE37" s="135">
        <f t="shared" si="26"/>
        <v>2774861</v>
      </c>
      <c r="CF37" s="135">
        <f t="shared" si="26"/>
        <v>2777118</v>
      </c>
      <c r="CG37" s="135">
        <f t="shared" si="26"/>
        <v>2772015</v>
      </c>
      <c r="CH37" s="135">
        <f t="shared" si="26"/>
        <v>2770947</v>
      </c>
      <c r="CI37" s="135">
        <f t="shared" si="26"/>
        <v>2765008</v>
      </c>
      <c r="CJ37" s="135">
        <f t="shared" si="26"/>
        <v>2749855</v>
      </c>
      <c r="CK37" s="135">
        <f t="shared" si="26"/>
        <v>2758351</v>
      </c>
      <c r="CL37" s="135">
        <f t="shared" si="26"/>
        <v>2769751</v>
      </c>
      <c r="CM37" s="135">
        <f t="shared" si="26"/>
        <v>2778712</v>
      </c>
      <c r="CN37" s="135">
        <f t="shared" si="26"/>
        <v>2787671</v>
      </c>
      <c r="CO37" s="135">
        <f t="shared" si="26"/>
        <v>2792241</v>
      </c>
      <c r="CP37" s="32"/>
    </row>
    <row r="38" spans="1:94">
      <c r="A38" s="32"/>
      <c r="B38" s="45" t="s">
        <v>207</v>
      </c>
      <c r="C38" s="47">
        <f>BACKUP!C176</f>
        <v>1442835</v>
      </c>
      <c r="D38" s="47">
        <f>BACKUP!D176</f>
        <v>1446637</v>
      </c>
      <c r="E38" s="47">
        <f>BACKUP!E176</f>
        <v>1450495</v>
      </c>
      <c r="F38" s="47">
        <f>BACKUP!F176</f>
        <v>1454095</v>
      </c>
      <c r="G38" s="47">
        <f>BACKUP!G176</f>
        <v>1457697</v>
      </c>
      <c r="H38" s="47">
        <f>BACKUP!H176</f>
        <v>1463022</v>
      </c>
      <c r="I38" s="47">
        <f>BACKUP!I176</f>
        <v>1464768</v>
      </c>
      <c r="J38" s="47">
        <f>BACKUP!J176</f>
        <v>1450869</v>
      </c>
      <c r="K38" s="47">
        <f>BACKUP!K176</f>
        <v>1454669</v>
      </c>
      <c r="L38" s="47">
        <f>BACKUP!L176</f>
        <v>1458514</v>
      </c>
      <c r="M38" s="47">
        <f>BACKUP!M176</f>
        <v>1463659</v>
      </c>
      <c r="N38" s="47">
        <f>BACKUP!N176</f>
        <v>1467554</v>
      </c>
      <c r="O38" s="47">
        <f>BACKUP!O176</f>
        <v>1471499</v>
      </c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45" t="str">
        <f>B38</f>
        <v xml:space="preserve">   Accumulated Depreciation</v>
      </c>
      <c r="AC38" s="197">
        <v>0</v>
      </c>
      <c r="AD38" s="48">
        <f>AC38</f>
        <v>0</v>
      </c>
      <c r="AE38" s="48">
        <f t="shared" ref="AE38:AO38" si="27">AD38</f>
        <v>0</v>
      </c>
      <c r="AF38" s="48">
        <f t="shared" si="27"/>
        <v>0</v>
      </c>
      <c r="AG38" s="48">
        <f t="shared" si="27"/>
        <v>0</v>
      </c>
      <c r="AH38" s="48">
        <f t="shared" si="27"/>
        <v>0</v>
      </c>
      <c r="AI38" s="48">
        <f t="shared" si="27"/>
        <v>0</v>
      </c>
      <c r="AJ38" s="48">
        <f t="shared" si="27"/>
        <v>0</v>
      </c>
      <c r="AK38" s="48">
        <f t="shared" si="27"/>
        <v>0</v>
      </c>
      <c r="AL38" s="48">
        <f t="shared" si="27"/>
        <v>0</v>
      </c>
      <c r="AM38" s="48">
        <f t="shared" si="27"/>
        <v>0</v>
      </c>
      <c r="AN38" s="48">
        <f t="shared" si="27"/>
        <v>0</v>
      </c>
      <c r="AO38" s="48">
        <f t="shared" si="27"/>
        <v>0</v>
      </c>
      <c r="AP38" s="32"/>
      <c r="AQ38" s="43"/>
      <c r="AR38" s="32"/>
      <c r="BA38" s="32"/>
      <c r="BB38" s="45" t="str">
        <f>B38</f>
        <v xml:space="preserve">   Accumulated Depreciation</v>
      </c>
      <c r="BC38" s="197">
        <v>17136</v>
      </c>
      <c r="BD38" s="235">
        <f>BC38+'[1]Fuel-Depr-OtherTax'!C$24+2</f>
        <v>17164</v>
      </c>
      <c r="BE38" s="204">
        <f>BD38+'[1]Fuel-Depr-OtherTax'!D$24</f>
        <v>17190</v>
      </c>
      <c r="BF38" s="204">
        <f>BE38+'[1]Fuel-Depr-OtherTax'!E$24</f>
        <v>17216</v>
      </c>
      <c r="BG38" s="204">
        <f>BF38+'[1]Fuel-Depr-OtherTax'!F$24</f>
        <v>17242</v>
      </c>
      <c r="BH38" s="204">
        <f>BG38+'[1]Fuel-Depr-OtherTax'!G$24</f>
        <v>17268</v>
      </c>
      <c r="BI38" s="197">
        <f>BH38+'[1]Fuel-Depr-OtherTax'!H$24+1</f>
        <v>17295</v>
      </c>
      <c r="BJ38" s="204">
        <f>BI38+'[1]Fuel-Depr-OtherTax'!I$24</f>
        <v>17321</v>
      </c>
      <c r="BK38" s="204">
        <f>BJ38+'[1]Fuel-Depr-OtherTax'!J$24</f>
        <v>17347</v>
      </c>
      <c r="BL38" s="204">
        <f>BK38+'[1]Fuel-Depr-OtherTax'!K$24</f>
        <v>17373</v>
      </c>
      <c r="BM38" s="204">
        <f>BL38+'[1]Fuel-Depr-OtherTax'!L$24</f>
        <v>17399</v>
      </c>
      <c r="BN38" s="204">
        <f>BM38+'[1]Fuel-Depr-OtherTax'!M$24</f>
        <v>17425</v>
      </c>
      <c r="BO38" s="204">
        <f>BN38+'[1]Fuel-Depr-OtherTax'!N$24</f>
        <v>17451</v>
      </c>
      <c r="CA38" s="32"/>
      <c r="CB38" s="45" t="str">
        <f>B38</f>
        <v xml:space="preserve">   Accumulated Depreciation</v>
      </c>
      <c r="CC38" s="48">
        <f t="shared" si="26"/>
        <v>1425699</v>
      </c>
      <c r="CD38" s="48">
        <f t="shared" si="26"/>
        <v>1429473</v>
      </c>
      <c r="CE38" s="48">
        <f t="shared" si="26"/>
        <v>1433305</v>
      </c>
      <c r="CF38" s="48">
        <f t="shared" si="26"/>
        <v>1436879</v>
      </c>
      <c r="CG38" s="48">
        <f t="shared" si="26"/>
        <v>1440455</v>
      </c>
      <c r="CH38" s="48">
        <f t="shared" si="26"/>
        <v>1445754</v>
      </c>
      <c r="CI38" s="48">
        <f t="shared" si="26"/>
        <v>1447473</v>
      </c>
      <c r="CJ38" s="48">
        <f t="shared" si="26"/>
        <v>1433548</v>
      </c>
      <c r="CK38" s="48">
        <f t="shared" si="26"/>
        <v>1437322</v>
      </c>
      <c r="CL38" s="48">
        <f t="shared" si="26"/>
        <v>1441141</v>
      </c>
      <c r="CM38" s="48">
        <f t="shared" si="26"/>
        <v>1446260</v>
      </c>
      <c r="CN38" s="48">
        <f t="shared" si="26"/>
        <v>1450129</v>
      </c>
      <c r="CO38" s="48">
        <f t="shared" si="26"/>
        <v>1454048</v>
      </c>
      <c r="CP38" s="32"/>
    </row>
    <row r="39" spans="1:94" ht="3.9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BA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</row>
    <row r="40" spans="1:94">
      <c r="A40" s="44" t="s">
        <v>208</v>
      </c>
      <c r="B40" s="30" t="s">
        <v>209</v>
      </c>
      <c r="C40" s="47">
        <f t="shared" ref="C40:O40" si="28">C37-C38</f>
        <v>1301029</v>
      </c>
      <c r="D40" s="47">
        <f t="shared" si="28"/>
        <v>1343063</v>
      </c>
      <c r="E40" s="47">
        <f t="shared" si="28"/>
        <v>1349490</v>
      </c>
      <c r="F40" s="47">
        <f t="shared" si="28"/>
        <v>1348147</v>
      </c>
      <c r="G40" s="47">
        <f t="shared" si="28"/>
        <v>1339442</v>
      </c>
      <c r="H40" s="47">
        <f t="shared" si="28"/>
        <v>1333049</v>
      </c>
      <c r="I40" s="47">
        <f t="shared" si="28"/>
        <v>1325364</v>
      </c>
      <c r="J40" s="47">
        <f t="shared" si="28"/>
        <v>1324110</v>
      </c>
      <c r="K40" s="47">
        <f t="shared" si="28"/>
        <v>1328806</v>
      </c>
      <c r="L40" s="47">
        <f t="shared" si="28"/>
        <v>1336361</v>
      </c>
      <c r="M40" s="47">
        <f t="shared" si="28"/>
        <v>1340177</v>
      </c>
      <c r="N40" s="47">
        <f t="shared" si="28"/>
        <v>1345241</v>
      </c>
      <c r="O40" s="47">
        <f t="shared" si="28"/>
        <v>1345866</v>
      </c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44" t="str">
        <f>A40</f>
        <v>6</v>
      </c>
      <c r="AB40" s="30" t="str">
        <f>B40</f>
        <v xml:space="preserve">      Net Plant</v>
      </c>
      <c r="AC40" s="47">
        <f t="shared" ref="AC40:AO40" si="29">AC37-AC38</f>
        <v>0</v>
      </c>
      <c r="AD40" s="47">
        <f t="shared" si="29"/>
        <v>0</v>
      </c>
      <c r="AE40" s="47">
        <f t="shared" si="29"/>
        <v>0</v>
      </c>
      <c r="AF40" s="47">
        <f t="shared" si="29"/>
        <v>0</v>
      </c>
      <c r="AG40" s="47">
        <f t="shared" si="29"/>
        <v>0</v>
      </c>
      <c r="AH40" s="47">
        <f t="shared" si="29"/>
        <v>0</v>
      </c>
      <c r="AI40" s="47">
        <f t="shared" si="29"/>
        <v>0</v>
      </c>
      <c r="AJ40" s="47">
        <f t="shared" si="29"/>
        <v>0</v>
      </c>
      <c r="AK40" s="47">
        <f t="shared" si="29"/>
        <v>0</v>
      </c>
      <c r="AL40" s="47">
        <f t="shared" si="29"/>
        <v>0</v>
      </c>
      <c r="AM40" s="47">
        <f t="shared" si="29"/>
        <v>0</v>
      </c>
      <c r="AN40" s="47">
        <f t="shared" si="29"/>
        <v>0</v>
      </c>
      <c r="AO40" s="47">
        <f t="shared" si="29"/>
        <v>0</v>
      </c>
      <c r="AP40" s="32"/>
      <c r="AQ40" s="43"/>
      <c r="AR40" s="32"/>
      <c r="BA40" s="44" t="str">
        <f>AA40</f>
        <v>6</v>
      </c>
      <c r="BB40" s="30" t="str">
        <f>B40</f>
        <v xml:space="preserve">      Net Plant</v>
      </c>
      <c r="BC40" s="47">
        <f t="shared" ref="BC40:BO40" si="30">BC37-BC38</f>
        <v>7988</v>
      </c>
      <c r="BD40" s="47">
        <f t="shared" si="30"/>
        <v>7960</v>
      </c>
      <c r="BE40" s="47">
        <f t="shared" si="30"/>
        <v>7934</v>
      </c>
      <c r="BF40" s="47">
        <f t="shared" si="30"/>
        <v>7908</v>
      </c>
      <c r="BG40" s="47">
        <f t="shared" si="30"/>
        <v>7882</v>
      </c>
      <c r="BH40" s="47">
        <f t="shared" si="30"/>
        <v>7856</v>
      </c>
      <c r="BI40" s="47">
        <f t="shared" si="30"/>
        <v>7829</v>
      </c>
      <c r="BJ40" s="47">
        <f t="shared" si="30"/>
        <v>7803</v>
      </c>
      <c r="BK40" s="47">
        <f t="shared" si="30"/>
        <v>7777</v>
      </c>
      <c r="BL40" s="47">
        <f t="shared" si="30"/>
        <v>7751</v>
      </c>
      <c r="BM40" s="47">
        <f t="shared" si="30"/>
        <v>7725</v>
      </c>
      <c r="BN40" s="47">
        <f t="shared" si="30"/>
        <v>7699</v>
      </c>
      <c r="BO40" s="47">
        <f t="shared" si="30"/>
        <v>7673</v>
      </c>
      <c r="CA40" s="44" t="str">
        <f>A40</f>
        <v>6</v>
      </c>
      <c r="CB40" s="30" t="str">
        <f>B40</f>
        <v xml:space="preserve">      Net Plant</v>
      </c>
      <c r="CC40" s="47">
        <f t="shared" ref="CC40:CO40" si="31">CC37-CC38</f>
        <v>1293041</v>
      </c>
      <c r="CD40" s="47">
        <f t="shared" si="31"/>
        <v>1335103</v>
      </c>
      <c r="CE40" s="47">
        <f t="shared" si="31"/>
        <v>1341556</v>
      </c>
      <c r="CF40" s="47">
        <f t="shared" si="31"/>
        <v>1340239</v>
      </c>
      <c r="CG40" s="47">
        <f t="shared" si="31"/>
        <v>1331560</v>
      </c>
      <c r="CH40" s="47">
        <f t="shared" si="31"/>
        <v>1325193</v>
      </c>
      <c r="CI40" s="47">
        <f t="shared" si="31"/>
        <v>1317535</v>
      </c>
      <c r="CJ40" s="47">
        <f t="shared" si="31"/>
        <v>1316307</v>
      </c>
      <c r="CK40" s="47">
        <f t="shared" si="31"/>
        <v>1321029</v>
      </c>
      <c r="CL40" s="47">
        <f t="shared" si="31"/>
        <v>1328610</v>
      </c>
      <c r="CM40" s="47">
        <f t="shared" si="31"/>
        <v>1332452</v>
      </c>
      <c r="CN40" s="47">
        <f t="shared" si="31"/>
        <v>1337542</v>
      </c>
      <c r="CO40" s="47">
        <f t="shared" si="31"/>
        <v>1338193</v>
      </c>
      <c r="CP40" s="32"/>
    </row>
    <row r="41" spans="1:94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BA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</row>
    <row r="42" spans="1:94">
      <c r="A42" s="32"/>
      <c r="B42" s="32"/>
      <c r="C42" s="32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32"/>
      <c r="AQ42" s="43"/>
      <c r="AR42" s="32"/>
      <c r="BA42" s="32"/>
      <c r="BC42" s="32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CA42" s="32"/>
      <c r="CB42" s="32"/>
      <c r="CC42" s="32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32"/>
    </row>
    <row r="43" spans="1:94">
      <c r="A43" s="29"/>
      <c r="B43" s="30" t="s">
        <v>210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29"/>
      <c r="AB43" s="30" t="str">
        <f>B43</f>
        <v>DEFERRED CHARGES</v>
      </c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32"/>
      <c r="AQ43" s="43"/>
      <c r="AR43" s="32"/>
      <c r="BA43" s="29"/>
      <c r="BB43" s="30" t="str">
        <f>B43</f>
        <v>DEFERRED CHARGES</v>
      </c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CA43" s="29"/>
      <c r="CB43" s="30" t="str">
        <f>B43</f>
        <v>DEFERRED CHARGES</v>
      </c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32"/>
    </row>
    <row r="44" spans="1:94">
      <c r="A44" s="44" t="s">
        <v>199</v>
      </c>
      <c r="B44" s="55" t="s">
        <v>558</v>
      </c>
      <c r="C44" s="137">
        <f>BACKUP!C184-C23</f>
        <v>0</v>
      </c>
      <c r="D44" s="137">
        <f>BACKUP!D184-D23</f>
        <v>0</v>
      </c>
      <c r="E44" s="137">
        <f>BACKUP!E184-E23</f>
        <v>0</v>
      </c>
      <c r="F44" s="137">
        <f>BACKUP!F184-F23</f>
        <v>0</v>
      </c>
      <c r="G44" s="137">
        <f>BACKUP!G184-G23</f>
        <v>0</v>
      </c>
      <c r="H44" s="137">
        <f>BACKUP!H184-H23</f>
        <v>0</v>
      </c>
      <c r="I44" s="137">
        <f>BACKUP!I184-I23</f>
        <v>0</v>
      </c>
      <c r="J44" s="137">
        <f>BACKUP!J184-J23</f>
        <v>0</v>
      </c>
      <c r="K44" s="137">
        <f>BACKUP!K184-K23</f>
        <v>0</v>
      </c>
      <c r="L44" s="137">
        <f>BACKUP!L184-L23</f>
        <v>0</v>
      </c>
      <c r="M44" s="137">
        <f>BACKUP!M184-M23</f>
        <v>0</v>
      </c>
      <c r="N44" s="137">
        <f>BACKUP!N184-N23</f>
        <v>0</v>
      </c>
      <c r="O44" s="137">
        <f>BACKUP!O184-O23</f>
        <v>0</v>
      </c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44" t="str">
        <f t="shared" ref="AA44:AB47" si="32">A44</f>
        <v>8</v>
      </c>
      <c r="AB44" s="45" t="str">
        <f t="shared" si="32"/>
        <v xml:space="preserve">   Deferred Contract Reformation Costs </v>
      </c>
      <c r="AC44" s="46">
        <v>0</v>
      </c>
      <c r="AD44" s="46">
        <v>0</v>
      </c>
      <c r="AE44" s="46">
        <v>0</v>
      </c>
      <c r="AF44" s="46">
        <v>0</v>
      </c>
      <c r="AG44" s="46">
        <v>0</v>
      </c>
      <c r="AH44" s="46">
        <v>0</v>
      </c>
      <c r="AI44" s="46">
        <v>0</v>
      </c>
      <c r="AJ44" s="46">
        <v>0</v>
      </c>
      <c r="AK44" s="46">
        <v>0</v>
      </c>
      <c r="AL44" s="46">
        <v>0</v>
      </c>
      <c r="AM44" s="46">
        <v>0</v>
      </c>
      <c r="AN44" s="46">
        <v>0</v>
      </c>
      <c r="AO44" s="46">
        <v>0</v>
      </c>
      <c r="AP44" s="32"/>
      <c r="AQ44" s="43"/>
      <c r="AR44" s="32"/>
      <c r="BA44" s="44" t="str">
        <f>AA44</f>
        <v>8</v>
      </c>
      <c r="BB44" s="45" t="str">
        <f>B44</f>
        <v xml:space="preserve">   Deferred Contract Reformation Costs </v>
      </c>
      <c r="BC44" s="46">
        <v>0</v>
      </c>
      <c r="BD44" s="46">
        <v>0</v>
      </c>
      <c r="BE44" s="46"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0</v>
      </c>
      <c r="BK44" s="46">
        <v>0</v>
      </c>
      <c r="BL44" s="46">
        <v>0</v>
      </c>
      <c r="BM44" s="46">
        <v>0</v>
      </c>
      <c r="BN44" s="46">
        <v>0</v>
      </c>
      <c r="BO44" s="46">
        <v>0</v>
      </c>
      <c r="CA44" s="44" t="str">
        <f>A44</f>
        <v>8</v>
      </c>
      <c r="CB44" s="45" t="str">
        <f>B44</f>
        <v xml:space="preserve">   Deferred Contract Reformation Costs </v>
      </c>
      <c r="CC44" s="135">
        <f t="shared" ref="CC44:CO47" si="33">C44-AC44-BC44</f>
        <v>0</v>
      </c>
      <c r="CD44" s="135">
        <f t="shared" si="33"/>
        <v>0</v>
      </c>
      <c r="CE44" s="135">
        <f t="shared" si="33"/>
        <v>0</v>
      </c>
      <c r="CF44" s="135">
        <f t="shared" si="33"/>
        <v>0</v>
      </c>
      <c r="CG44" s="135">
        <f t="shared" si="33"/>
        <v>0</v>
      </c>
      <c r="CH44" s="135">
        <f t="shared" si="33"/>
        <v>0</v>
      </c>
      <c r="CI44" s="135">
        <f t="shared" si="33"/>
        <v>0</v>
      </c>
      <c r="CJ44" s="135">
        <f t="shared" si="33"/>
        <v>0</v>
      </c>
      <c r="CK44" s="135">
        <f t="shared" si="33"/>
        <v>0</v>
      </c>
      <c r="CL44" s="135">
        <f t="shared" si="33"/>
        <v>0</v>
      </c>
      <c r="CM44" s="135">
        <f t="shared" si="33"/>
        <v>0</v>
      </c>
      <c r="CN44" s="135">
        <f t="shared" si="33"/>
        <v>0</v>
      </c>
      <c r="CO44" s="135">
        <f t="shared" si="33"/>
        <v>0</v>
      </c>
      <c r="CP44" s="32"/>
    </row>
    <row r="45" spans="1:94">
      <c r="A45" s="44" t="s">
        <v>211</v>
      </c>
      <c r="B45" s="45" t="s">
        <v>212</v>
      </c>
      <c r="C45" s="43">
        <f>BACKUP!C247</f>
        <v>205563</v>
      </c>
      <c r="D45" s="43">
        <f>BACKUP!D247</f>
        <v>208335</v>
      </c>
      <c r="E45" s="43">
        <f>BACKUP!E247</f>
        <v>204840</v>
      </c>
      <c r="F45" s="43">
        <f>BACKUP!F247</f>
        <v>204494</v>
      </c>
      <c r="G45" s="43">
        <f>BACKUP!G247</f>
        <v>202992</v>
      </c>
      <c r="H45" s="43">
        <f>BACKUP!H247</f>
        <v>198687</v>
      </c>
      <c r="I45" s="43">
        <f>BACKUP!I247</f>
        <v>195422</v>
      </c>
      <c r="J45" s="43">
        <f>BACKUP!J247</f>
        <v>192000</v>
      </c>
      <c r="K45" s="43">
        <f>BACKUP!K247</f>
        <v>191659</v>
      </c>
      <c r="L45" s="43">
        <f>BACKUP!L247</f>
        <v>191241</v>
      </c>
      <c r="M45" s="43">
        <f>BACKUP!M247</f>
        <v>190924</v>
      </c>
      <c r="N45" s="43">
        <f>BACKUP!N247</f>
        <v>190006</v>
      </c>
      <c r="O45" s="43">
        <f>BACKUP!O247</f>
        <v>199792</v>
      </c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44" t="str">
        <f t="shared" si="32"/>
        <v>7</v>
      </c>
      <c r="AB45" s="45" t="str">
        <f t="shared" si="32"/>
        <v xml:space="preserve">   Other Regulatory Assets</v>
      </c>
      <c r="AC45" s="46">
        <v>0</v>
      </c>
      <c r="AD45" s="46">
        <v>0</v>
      </c>
      <c r="AE45" s="46">
        <v>0</v>
      </c>
      <c r="AF45" s="46">
        <v>0</v>
      </c>
      <c r="AG45" s="46">
        <v>0</v>
      </c>
      <c r="AH45" s="46">
        <v>0</v>
      </c>
      <c r="AI45" s="46">
        <v>0</v>
      </c>
      <c r="AJ45" s="46">
        <v>0</v>
      </c>
      <c r="AK45" s="46">
        <v>0</v>
      </c>
      <c r="AL45" s="46">
        <v>0</v>
      </c>
      <c r="AM45" s="46">
        <v>0</v>
      </c>
      <c r="AN45" s="46">
        <v>0</v>
      </c>
      <c r="AO45" s="46">
        <v>0</v>
      </c>
      <c r="AP45" s="32"/>
      <c r="AQ45" s="32"/>
      <c r="AR45" s="32"/>
      <c r="BA45" s="44" t="str">
        <f>AA45</f>
        <v>7</v>
      </c>
      <c r="BB45" s="45" t="str">
        <f>B45</f>
        <v xml:space="preserve">   Other Regulatory Assets</v>
      </c>
      <c r="BC45" s="46">
        <v>0</v>
      </c>
      <c r="BD45" s="46">
        <v>0</v>
      </c>
      <c r="BE45" s="46">
        <v>0</v>
      </c>
      <c r="BF45" s="46">
        <v>0</v>
      </c>
      <c r="BG45" s="46">
        <v>0</v>
      </c>
      <c r="BH45" s="46">
        <v>0</v>
      </c>
      <c r="BI45" s="46">
        <v>0</v>
      </c>
      <c r="BJ45" s="46">
        <v>0</v>
      </c>
      <c r="BK45" s="46">
        <v>0</v>
      </c>
      <c r="BL45" s="46">
        <v>0</v>
      </c>
      <c r="BM45" s="46">
        <v>0</v>
      </c>
      <c r="BN45" s="46">
        <v>0</v>
      </c>
      <c r="BO45" s="46">
        <v>0</v>
      </c>
      <c r="CA45" s="44" t="str">
        <f>A45</f>
        <v>7</v>
      </c>
      <c r="CB45" s="45" t="str">
        <f>B45</f>
        <v xml:space="preserve">   Other Regulatory Assets</v>
      </c>
      <c r="CC45" s="135">
        <f t="shared" si="33"/>
        <v>205563</v>
      </c>
      <c r="CD45" s="135">
        <f t="shared" si="33"/>
        <v>208335</v>
      </c>
      <c r="CE45" s="135">
        <f t="shared" si="33"/>
        <v>204840</v>
      </c>
      <c r="CF45" s="135">
        <f t="shared" si="33"/>
        <v>204494</v>
      </c>
      <c r="CG45" s="135">
        <f t="shared" si="33"/>
        <v>202992</v>
      </c>
      <c r="CH45" s="135">
        <f t="shared" si="33"/>
        <v>198687</v>
      </c>
      <c r="CI45" s="135">
        <f t="shared" si="33"/>
        <v>195422</v>
      </c>
      <c r="CJ45" s="135">
        <f t="shared" si="33"/>
        <v>192000</v>
      </c>
      <c r="CK45" s="135">
        <f t="shared" si="33"/>
        <v>191659</v>
      </c>
      <c r="CL45" s="135">
        <f t="shared" si="33"/>
        <v>191241</v>
      </c>
      <c r="CM45" s="135">
        <f t="shared" si="33"/>
        <v>190924</v>
      </c>
      <c r="CN45" s="135">
        <f t="shared" si="33"/>
        <v>190006</v>
      </c>
      <c r="CO45" s="135">
        <f t="shared" si="33"/>
        <v>199792</v>
      </c>
      <c r="CP45" s="32"/>
    </row>
    <row r="46" spans="1:94">
      <c r="A46" s="44" t="s">
        <v>213</v>
      </c>
      <c r="B46" s="45" t="s">
        <v>214</v>
      </c>
      <c r="C46" s="43">
        <f>BACKUP!C192</f>
        <v>0</v>
      </c>
      <c r="D46" s="43">
        <f>BACKUP!D192</f>
        <v>0</v>
      </c>
      <c r="E46" s="43">
        <f>BACKUP!E192</f>
        <v>0</v>
      </c>
      <c r="F46" s="43">
        <f>BACKUP!F192</f>
        <v>0</v>
      </c>
      <c r="G46" s="43">
        <f>BACKUP!G192</f>
        <v>0</v>
      </c>
      <c r="H46" s="43">
        <f>BACKUP!H192</f>
        <v>0</v>
      </c>
      <c r="I46" s="43">
        <f>BACKUP!I192</f>
        <v>0</v>
      </c>
      <c r="J46" s="43">
        <f>BACKUP!J192</f>
        <v>0</v>
      </c>
      <c r="K46" s="43">
        <f>BACKUP!K192</f>
        <v>0</v>
      </c>
      <c r="L46" s="43">
        <f>BACKUP!L192</f>
        <v>0</v>
      </c>
      <c r="M46" s="43">
        <f>BACKUP!M192</f>
        <v>0</v>
      </c>
      <c r="N46" s="43">
        <f>BACKUP!N192</f>
        <v>0</v>
      </c>
      <c r="O46" s="43">
        <f>BACKUP!O192</f>
        <v>0</v>
      </c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44" t="str">
        <f t="shared" si="32"/>
        <v>9</v>
      </c>
      <c r="AB46" s="45" t="str">
        <f t="shared" si="32"/>
        <v xml:space="preserve">   Deferred Severance / Relocation Charges</v>
      </c>
      <c r="AC46" s="46">
        <v>0</v>
      </c>
      <c r="AD46" s="46">
        <v>0</v>
      </c>
      <c r="AE46" s="46">
        <v>0</v>
      </c>
      <c r="AF46" s="46">
        <v>0</v>
      </c>
      <c r="AG46" s="46">
        <v>0</v>
      </c>
      <c r="AH46" s="46">
        <v>0</v>
      </c>
      <c r="AI46" s="46">
        <v>0</v>
      </c>
      <c r="AJ46" s="46">
        <v>0</v>
      </c>
      <c r="AK46" s="46">
        <v>0</v>
      </c>
      <c r="AL46" s="46">
        <v>0</v>
      </c>
      <c r="AM46" s="46">
        <v>0</v>
      </c>
      <c r="AN46" s="46">
        <v>0</v>
      </c>
      <c r="AO46" s="46">
        <v>0</v>
      </c>
      <c r="AP46" s="32"/>
      <c r="AQ46" s="43"/>
      <c r="AR46" s="32"/>
      <c r="BA46" s="44" t="str">
        <f>AA46</f>
        <v>9</v>
      </c>
      <c r="BB46" s="45" t="str">
        <f>B46</f>
        <v xml:space="preserve">   Deferred Severance / Relocation Charges</v>
      </c>
      <c r="BC46" s="46">
        <v>0</v>
      </c>
      <c r="BD46" s="46">
        <v>0</v>
      </c>
      <c r="BE46" s="46"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0</v>
      </c>
      <c r="BK46" s="46">
        <v>0</v>
      </c>
      <c r="BL46" s="46">
        <v>0</v>
      </c>
      <c r="BM46" s="46">
        <v>0</v>
      </c>
      <c r="BN46" s="46">
        <v>0</v>
      </c>
      <c r="BO46" s="46">
        <v>0</v>
      </c>
      <c r="CA46" s="44" t="str">
        <f>A46</f>
        <v>9</v>
      </c>
      <c r="CB46" s="45" t="str">
        <f>B46</f>
        <v xml:space="preserve">   Deferred Severance / Relocation Charges</v>
      </c>
      <c r="CC46" s="135">
        <f t="shared" si="33"/>
        <v>0</v>
      </c>
      <c r="CD46" s="135">
        <f t="shared" si="33"/>
        <v>0</v>
      </c>
      <c r="CE46" s="135">
        <f t="shared" si="33"/>
        <v>0</v>
      </c>
      <c r="CF46" s="135">
        <f t="shared" si="33"/>
        <v>0</v>
      </c>
      <c r="CG46" s="135">
        <f t="shared" si="33"/>
        <v>0</v>
      </c>
      <c r="CH46" s="135">
        <f t="shared" si="33"/>
        <v>0</v>
      </c>
      <c r="CI46" s="135">
        <f t="shared" si="33"/>
        <v>0</v>
      </c>
      <c r="CJ46" s="135">
        <f t="shared" si="33"/>
        <v>0</v>
      </c>
      <c r="CK46" s="135">
        <f t="shared" si="33"/>
        <v>0</v>
      </c>
      <c r="CL46" s="135">
        <f t="shared" si="33"/>
        <v>0</v>
      </c>
      <c r="CM46" s="135">
        <f t="shared" si="33"/>
        <v>0</v>
      </c>
      <c r="CN46" s="135">
        <f t="shared" si="33"/>
        <v>0</v>
      </c>
      <c r="CO46" s="135">
        <f t="shared" si="33"/>
        <v>0</v>
      </c>
      <c r="CP46" s="32"/>
    </row>
    <row r="47" spans="1:94">
      <c r="A47" s="44" t="s">
        <v>213</v>
      </c>
      <c r="B47" s="45" t="s">
        <v>32</v>
      </c>
      <c r="C47" s="47">
        <f>BACKUP!C268</f>
        <v>9150</v>
      </c>
      <c r="D47" s="47">
        <f>BACKUP!D268</f>
        <v>8391</v>
      </c>
      <c r="E47" s="47">
        <f>BACKUP!E268</f>
        <v>10015</v>
      </c>
      <c r="F47" s="47">
        <f>BACKUP!F268</f>
        <v>9127</v>
      </c>
      <c r="G47" s="47">
        <f>BACKUP!G268</f>
        <v>9335</v>
      </c>
      <c r="H47" s="47">
        <f>BACKUP!H268</f>
        <v>9572</v>
      </c>
      <c r="I47" s="47">
        <f>BACKUP!I268</f>
        <v>10257</v>
      </c>
      <c r="J47" s="47">
        <f>BACKUP!J268</f>
        <v>10958</v>
      </c>
      <c r="K47" s="47">
        <f>BACKUP!K268</f>
        <v>10960</v>
      </c>
      <c r="L47" s="47">
        <f>BACKUP!L268</f>
        <v>10959</v>
      </c>
      <c r="M47" s="47">
        <f>BACKUP!M268</f>
        <v>10960</v>
      </c>
      <c r="N47" s="47">
        <f>BACKUP!N268</f>
        <v>10889</v>
      </c>
      <c r="O47" s="47">
        <f>BACKUP!O268</f>
        <v>10121</v>
      </c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44" t="str">
        <f t="shared" si="32"/>
        <v>9</v>
      </c>
      <c r="AB47" s="45" t="str">
        <f t="shared" si="32"/>
        <v xml:space="preserve">   Other</v>
      </c>
      <c r="AC47" s="197">
        <v>0</v>
      </c>
      <c r="AD47" s="197">
        <v>0</v>
      </c>
      <c r="AE47" s="197">
        <v>0</v>
      </c>
      <c r="AF47" s="197">
        <v>0</v>
      </c>
      <c r="AG47" s="197">
        <v>0</v>
      </c>
      <c r="AH47" s="197">
        <v>0</v>
      </c>
      <c r="AI47" s="197">
        <v>0</v>
      </c>
      <c r="AJ47" s="197">
        <v>0</v>
      </c>
      <c r="AK47" s="197">
        <v>0</v>
      </c>
      <c r="AL47" s="197">
        <v>0</v>
      </c>
      <c r="AM47" s="197">
        <v>0</v>
      </c>
      <c r="AN47" s="197">
        <v>0</v>
      </c>
      <c r="AO47" s="197">
        <v>0</v>
      </c>
      <c r="AP47" s="32"/>
      <c r="AQ47" s="43"/>
      <c r="AR47" s="32"/>
      <c r="BA47" s="44" t="str">
        <f>AA47</f>
        <v>9</v>
      </c>
      <c r="BB47" s="45" t="str">
        <f>B47</f>
        <v xml:space="preserve">   Other</v>
      </c>
      <c r="BC47" s="197">
        <v>0</v>
      </c>
      <c r="BD47" s="197">
        <v>0</v>
      </c>
      <c r="BE47" s="197">
        <v>0</v>
      </c>
      <c r="BF47" s="197">
        <v>0</v>
      </c>
      <c r="BG47" s="197">
        <v>0</v>
      </c>
      <c r="BH47" s="197">
        <v>0</v>
      </c>
      <c r="BI47" s="197">
        <v>0</v>
      </c>
      <c r="BJ47" s="197">
        <v>0</v>
      </c>
      <c r="BK47" s="197">
        <v>0</v>
      </c>
      <c r="BL47" s="197">
        <v>0</v>
      </c>
      <c r="BM47" s="197">
        <v>0</v>
      </c>
      <c r="BN47" s="197">
        <v>0</v>
      </c>
      <c r="BO47" s="197">
        <v>0</v>
      </c>
      <c r="CA47" s="44" t="str">
        <f>A47</f>
        <v>9</v>
      </c>
      <c r="CB47" s="45" t="str">
        <f>B47</f>
        <v xml:space="preserve">   Other</v>
      </c>
      <c r="CC47" s="48">
        <f t="shared" si="33"/>
        <v>9150</v>
      </c>
      <c r="CD47" s="48">
        <f t="shared" si="33"/>
        <v>8391</v>
      </c>
      <c r="CE47" s="48">
        <f t="shared" si="33"/>
        <v>10015</v>
      </c>
      <c r="CF47" s="48">
        <f t="shared" si="33"/>
        <v>9127</v>
      </c>
      <c r="CG47" s="48">
        <f t="shared" si="33"/>
        <v>9335</v>
      </c>
      <c r="CH47" s="48">
        <f t="shared" si="33"/>
        <v>9572</v>
      </c>
      <c r="CI47" s="48">
        <f t="shared" si="33"/>
        <v>10257</v>
      </c>
      <c r="CJ47" s="48">
        <f t="shared" si="33"/>
        <v>10958</v>
      </c>
      <c r="CK47" s="48">
        <f t="shared" si="33"/>
        <v>10960</v>
      </c>
      <c r="CL47" s="48">
        <f t="shared" si="33"/>
        <v>10959</v>
      </c>
      <c r="CM47" s="48">
        <f t="shared" si="33"/>
        <v>10960</v>
      </c>
      <c r="CN47" s="48">
        <f t="shared" si="33"/>
        <v>10889</v>
      </c>
      <c r="CO47" s="48">
        <f t="shared" si="33"/>
        <v>10121</v>
      </c>
      <c r="CP47" s="32"/>
    </row>
    <row r="48" spans="1:94" ht="3.9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BA48" s="32"/>
      <c r="BB48" s="45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</row>
    <row r="49" spans="1:94">
      <c r="A49" s="29"/>
      <c r="B49" s="30" t="s">
        <v>215</v>
      </c>
      <c r="C49" s="47">
        <f t="shared" ref="C49:O49" si="34">SUM(C44:C48)</f>
        <v>214713</v>
      </c>
      <c r="D49" s="47">
        <f t="shared" si="34"/>
        <v>216726</v>
      </c>
      <c r="E49" s="47">
        <f t="shared" si="34"/>
        <v>214855</v>
      </c>
      <c r="F49" s="47">
        <f t="shared" si="34"/>
        <v>213621</v>
      </c>
      <c r="G49" s="47">
        <f t="shared" si="34"/>
        <v>212327</v>
      </c>
      <c r="H49" s="47">
        <f t="shared" si="34"/>
        <v>208259</v>
      </c>
      <c r="I49" s="47">
        <f t="shared" si="34"/>
        <v>205679</v>
      </c>
      <c r="J49" s="47">
        <f t="shared" si="34"/>
        <v>202958</v>
      </c>
      <c r="K49" s="47">
        <f t="shared" si="34"/>
        <v>202619</v>
      </c>
      <c r="L49" s="47">
        <f t="shared" si="34"/>
        <v>202200</v>
      </c>
      <c r="M49" s="47">
        <f t="shared" si="34"/>
        <v>201884</v>
      </c>
      <c r="N49" s="47">
        <f t="shared" si="34"/>
        <v>200895</v>
      </c>
      <c r="O49" s="47">
        <f t="shared" si="34"/>
        <v>209913</v>
      </c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29"/>
      <c r="AB49" s="30" t="str">
        <f>B49</f>
        <v xml:space="preserve">      Total Deferred Charges</v>
      </c>
      <c r="AC49" s="47">
        <f t="shared" ref="AC49:AO49" si="35">SUM(AC44:AC48)</f>
        <v>0</v>
      </c>
      <c r="AD49" s="47">
        <f t="shared" si="35"/>
        <v>0</v>
      </c>
      <c r="AE49" s="47">
        <f t="shared" si="35"/>
        <v>0</v>
      </c>
      <c r="AF49" s="47">
        <f t="shared" si="35"/>
        <v>0</v>
      </c>
      <c r="AG49" s="47">
        <f t="shared" si="35"/>
        <v>0</v>
      </c>
      <c r="AH49" s="47">
        <f t="shared" si="35"/>
        <v>0</v>
      </c>
      <c r="AI49" s="47">
        <f t="shared" si="35"/>
        <v>0</v>
      </c>
      <c r="AJ49" s="47">
        <f t="shared" si="35"/>
        <v>0</v>
      </c>
      <c r="AK49" s="47">
        <f t="shared" si="35"/>
        <v>0</v>
      </c>
      <c r="AL49" s="47">
        <f t="shared" si="35"/>
        <v>0</v>
      </c>
      <c r="AM49" s="47">
        <f t="shared" si="35"/>
        <v>0</v>
      </c>
      <c r="AN49" s="47">
        <f t="shared" si="35"/>
        <v>0</v>
      </c>
      <c r="AO49" s="47">
        <f t="shared" si="35"/>
        <v>0</v>
      </c>
      <c r="AP49" s="32"/>
      <c r="AQ49" s="43"/>
      <c r="AR49" s="32"/>
      <c r="BA49" s="29"/>
      <c r="BB49" s="30" t="str">
        <f>B49</f>
        <v xml:space="preserve">      Total Deferred Charges</v>
      </c>
      <c r="BC49" s="47">
        <f t="shared" ref="BC49:BO49" si="36">SUM(BC44:BC48)</f>
        <v>0</v>
      </c>
      <c r="BD49" s="47">
        <f t="shared" si="36"/>
        <v>0</v>
      </c>
      <c r="BE49" s="47">
        <f t="shared" si="36"/>
        <v>0</v>
      </c>
      <c r="BF49" s="47">
        <f t="shared" si="36"/>
        <v>0</v>
      </c>
      <c r="BG49" s="47">
        <f t="shared" si="36"/>
        <v>0</v>
      </c>
      <c r="BH49" s="47">
        <f t="shared" si="36"/>
        <v>0</v>
      </c>
      <c r="BI49" s="47">
        <f t="shared" si="36"/>
        <v>0</v>
      </c>
      <c r="BJ49" s="47">
        <f t="shared" si="36"/>
        <v>0</v>
      </c>
      <c r="BK49" s="47">
        <f t="shared" si="36"/>
        <v>0</v>
      </c>
      <c r="BL49" s="47">
        <f t="shared" si="36"/>
        <v>0</v>
      </c>
      <c r="BM49" s="47">
        <f t="shared" si="36"/>
        <v>0</v>
      </c>
      <c r="BN49" s="47">
        <f t="shared" si="36"/>
        <v>0</v>
      </c>
      <c r="BO49" s="47">
        <f t="shared" si="36"/>
        <v>0</v>
      </c>
      <c r="CA49" s="29"/>
      <c r="CB49" s="30" t="str">
        <f>B49</f>
        <v xml:space="preserve">      Total Deferred Charges</v>
      </c>
      <c r="CC49" s="47">
        <f t="shared" ref="CC49:CO49" si="37">SUM(CC44:CC48)</f>
        <v>214713</v>
      </c>
      <c r="CD49" s="47">
        <f t="shared" si="37"/>
        <v>216726</v>
      </c>
      <c r="CE49" s="47">
        <f t="shared" si="37"/>
        <v>214855</v>
      </c>
      <c r="CF49" s="47">
        <f t="shared" si="37"/>
        <v>213621</v>
      </c>
      <c r="CG49" s="47">
        <f t="shared" si="37"/>
        <v>212327</v>
      </c>
      <c r="CH49" s="47">
        <f t="shared" si="37"/>
        <v>208259</v>
      </c>
      <c r="CI49" s="47">
        <f t="shared" si="37"/>
        <v>205679</v>
      </c>
      <c r="CJ49" s="47">
        <f t="shared" si="37"/>
        <v>202958</v>
      </c>
      <c r="CK49" s="47">
        <f t="shared" si="37"/>
        <v>202619</v>
      </c>
      <c r="CL49" s="47">
        <f t="shared" si="37"/>
        <v>202200</v>
      </c>
      <c r="CM49" s="47">
        <f t="shared" si="37"/>
        <v>201884</v>
      </c>
      <c r="CN49" s="47">
        <f t="shared" si="37"/>
        <v>200895</v>
      </c>
      <c r="CO49" s="47">
        <f t="shared" si="37"/>
        <v>209913</v>
      </c>
      <c r="CP49" s="32"/>
    </row>
    <row r="50" spans="1:9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BA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</row>
    <row r="51" spans="1:94">
      <c r="A51" s="32"/>
      <c r="B51" s="32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32"/>
      <c r="AQ51" s="43"/>
      <c r="AR51" s="32"/>
      <c r="BA51" s="32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CA51" s="32"/>
      <c r="CB51" s="32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32"/>
    </row>
    <row r="52" spans="1:94">
      <c r="A52" s="29"/>
      <c r="B52" s="30" t="s">
        <v>216</v>
      </c>
      <c r="C52" s="49">
        <f t="shared" ref="C52:O52" si="38">C26+C34+C40+C49</f>
        <v>2056033</v>
      </c>
      <c r="D52" s="49">
        <f t="shared" si="38"/>
        <v>2144174</v>
      </c>
      <c r="E52" s="49">
        <f t="shared" si="38"/>
        <v>2117619</v>
      </c>
      <c r="F52" s="49">
        <f t="shared" si="38"/>
        <v>2119251</v>
      </c>
      <c r="G52" s="49">
        <f t="shared" si="38"/>
        <v>2139763</v>
      </c>
      <c r="H52" s="49">
        <f t="shared" si="38"/>
        <v>2113806</v>
      </c>
      <c r="I52" s="49">
        <f t="shared" si="38"/>
        <v>2098426</v>
      </c>
      <c r="J52" s="49">
        <f t="shared" si="38"/>
        <v>2085765</v>
      </c>
      <c r="K52" s="49">
        <f t="shared" si="38"/>
        <v>2099792</v>
      </c>
      <c r="L52" s="49">
        <f t="shared" si="38"/>
        <v>2101658</v>
      </c>
      <c r="M52" s="49">
        <f t="shared" si="38"/>
        <v>2088443</v>
      </c>
      <c r="N52" s="49">
        <f t="shared" si="38"/>
        <v>2099313</v>
      </c>
      <c r="O52" s="49">
        <f t="shared" si="38"/>
        <v>2096348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29"/>
      <c r="AB52" s="30" t="str">
        <f>B52</f>
        <v xml:space="preserve">            TOTAL ASSETS</v>
      </c>
      <c r="AC52" s="49">
        <f t="shared" ref="AC52:AO52" si="39">AC26+AC34+AC40+AC49</f>
        <v>74716</v>
      </c>
      <c r="AD52" s="49">
        <f t="shared" si="39"/>
        <v>74944</v>
      </c>
      <c r="AE52" s="49">
        <f t="shared" si="39"/>
        <v>75046</v>
      </c>
      <c r="AF52" s="49">
        <f t="shared" si="39"/>
        <v>70097</v>
      </c>
      <c r="AG52" s="49">
        <f t="shared" si="39"/>
        <v>70820</v>
      </c>
      <c r="AH52" s="49">
        <f t="shared" si="39"/>
        <v>70912</v>
      </c>
      <c r="AI52" s="49">
        <f t="shared" si="39"/>
        <v>71083</v>
      </c>
      <c r="AJ52" s="49">
        <f t="shared" si="39"/>
        <v>71188</v>
      </c>
      <c r="AK52" s="49">
        <f t="shared" si="39"/>
        <v>71250</v>
      </c>
      <c r="AL52" s="49">
        <f t="shared" si="39"/>
        <v>71346</v>
      </c>
      <c r="AM52" s="49">
        <f t="shared" si="39"/>
        <v>71399</v>
      </c>
      <c r="AN52" s="49">
        <f t="shared" si="39"/>
        <v>71455</v>
      </c>
      <c r="AO52" s="49">
        <f t="shared" si="39"/>
        <v>71442</v>
      </c>
      <c r="AP52" s="32"/>
      <c r="AQ52" s="43"/>
      <c r="AR52" s="32"/>
      <c r="BA52" s="29"/>
      <c r="BB52" s="30" t="str">
        <f>B52</f>
        <v xml:space="preserve">            TOTAL ASSETS</v>
      </c>
      <c r="BC52" s="49">
        <f t="shared" ref="BC52:BO52" si="40">BC26+BC34+BC40+BC49</f>
        <v>8068</v>
      </c>
      <c r="BD52" s="49">
        <f t="shared" si="40"/>
        <v>8040</v>
      </c>
      <c r="BE52" s="49">
        <f t="shared" si="40"/>
        <v>8014</v>
      </c>
      <c r="BF52" s="49">
        <f t="shared" si="40"/>
        <v>7988</v>
      </c>
      <c r="BG52" s="49">
        <f t="shared" si="40"/>
        <v>7962</v>
      </c>
      <c r="BH52" s="49">
        <f t="shared" si="40"/>
        <v>7936</v>
      </c>
      <c r="BI52" s="49">
        <f t="shared" si="40"/>
        <v>7909</v>
      </c>
      <c r="BJ52" s="49">
        <f t="shared" si="40"/>
        <v>7883</v>
      </c>
      <c r="BK52" s="49">
        <f t="shared" si="40"/>
        <v>7857</v>
      </c>
      <c r="BL52" s="49">
        <f t="shared" si="40"/>
        <v>7831</v>
      </c>
      <c r="BM52" s="49">
        <f t="shared" si="40"/>
        <v>7805</v>
      </c>
      <c r="BN52" s="49">
        <f t="shared" si="40"/>
        <v>7779</v>
      </c>
      <c r="BO52" s="49">
        <f t="shared" si="40"/>
        <v>7753</v>
      </c>
      <c r="CA52" s="29"/>
      <c r="CB52" s="30" t="str">
        <f>B52</f>
        <v xml:space="preserve">            TOTAL ASSETS</v>
      </c>
      <c r="CC52" s="49">
        <f t="shared" ref="CC52:CO52" si="41">CC26+CC34+CC40+CC49</f>
        <v>1973249</v>
      </c>
      <c r="CD52" s="49">
        <f t="shared" si="41"/>
        <v>2061190</v>
      </c>
      <c r="CE52" s="49">
        <f t="shared" si="41"/>
        <v>2034559</v>
      </c>
      <c r="CF52" s="49">
        <f t="shared" si="41"/>
        <v>2041166</v>
      </c>
      <c r="CG52" s="49">
        <f t="shared" si="41"/>
        <v>2060981</v>
      </c>
      <c r="CH52" s="49">
        <f t="shared" si="41"/>
        <v>2034958</v>
      </c>
      <c r="CI52" s="49">
        <f t="shared" si="41"/>
        <v>2019434</v>
      </c>
      <c r="CJ52" s="49">
        <f t="shared" si="41"/>
        <v>2006694</v>
      </c>
      <c r="CK52" s="49">
        <f t="shared" si="41"/>
        <v>2020685</v>
      </c>
      <c r="CL52" s="49">
        <f t="shared" si="41"/>
        <v>2022481</v>
      </c>
      <c r="CM52" s="49">
        <f t="shared" si="41"/>
        <v>2009239</v>
      </c>
      <c r="CN52" s="49">
        <f t="shared" si="41"/>
        <v>2020079</v>
      </c>
      <c r="CO52" s="49">
        <f t="shared" si="41"/>
        <v>2017153</v>
      </c>
      <c r="CP52" s="32"/>
    </row>
    <row r="53" spans="1:94">
      <c r="A53" s="32"/>
      <c r="B53" s="32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32"/>
      <c r="AQ53" s="43"/>
      <c r="AR53" s="32"/>
      <c r="BA53" s="32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CA53" s="32"/>
      <c r="CB53" s="32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32"/>
    </row>
    <row r="54" spans="1:9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BA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</row>
    <row r="55" spans="1:94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152"/>
      <c r="AG55" s="200"/>
      <c r="AH55" s="200"/>
      <c r="AI55" s="200"/>
      <c r="AJ55" s="32"/>
      <c r="AK55" s="32"/>
      <c r="AL55" s="32"/>
      <c r="AM55" s="32"/>
      <c r="AN55" s="32"/>
      <c r="AO55" s="32"/>
      <c r="AP55" s="32"/>
      <c r="AQ55" s="32"/>
      <c r="AR55" s="32"/>
      <c r="BA55" s="32"/>
      <c r="BC55" s="32"/>
      <c r="BD55" s="32"/>
      <c r="BE55" s="32"/>
      <c r="BF55" s="152"/>
      <c r="BG55" s="200"/>
      <c r="BH55" s="200"/>
      <c r="BI55" s="200"/>
      <c r="BJ55" s="32"/>
      <c r="BK55" s="32"/>
      <c r="BL55" s="32"/>
      <c r="BM55" s="32"/>
      <c r="BN55" s="32"/>
      <c r="BO55" s="32"/>
      <c r="CA55" s="32"/>
      <c r="CB55" s="32"/>
      <c r="CP55" s="32"/>
    </row>
    <row r="56" spans="1:94" ht="8.1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BA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CA56" s="32"/>
      <c r="CB56" s="32"/>
      <c r="CP56" s="32"/>
    </row>
    <row r="57" spans="1:94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199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32"/>
      <c r="AQ57" s="43"/>
      <c r="AR57" s="32"/>
      <c r="BA57" s="32"/>
      <c r="BC57" s="199"/>
      <c r="BD57" s="201"/>
      <c r="BE57" s="201"/>
      <c r="BF57" s="201"/>
      <c r="BG57" s="201"/>
      <c r="BH57" s="201"/>
      <c r="BI57" s="201"/>
      <c r="BJ57" s="201"/>
      <c r="BK57" s="201"/>
      <c r="BL57" s="201"/>
      <c r="BM57" s="201"/>
      <c r="BN57" s="201"/>
      <c r="BO57" s="201"/>
      <c r="CA57" s="32"/>
      <c r="CB57" s="32"/>
      <c r="CP57" s="32"/>
    </row>
    <row r="58" spans="1:94">
      <c r="A58" s="29"/>
      <c r="B58" s="30" t="s">
        <v>217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29"/>
      <c r="AB58" s="30" t="str">
        <f>B58</f>
        <v>CURRENT LIABILITIES</v>
      </c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32"/>
      <c r="AQ58" s="43"/>
      <c r="AR58" s="32"/>
      <c r="BA58" s="29"/>
      <c r="BB58" s="30" t="str">
        <f>B58</f>
        <v>CURRENT LIABILITIES</v>
      </c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CA58" s="29"/>
      <c r="CB58" s="30" t="str">
        <f>B58</f>
        <v>CURRENT LIABILITIES</v>
      </c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32"/>
    </row>
    <row r="59" spans="1:94">
      <c r="A59" s="44" t="s">
        <v>218</v>
      </c>
      <c r="B59" s="55" t="s">
        <v>219</v>
      </c>
      <c r="C59" s="43">
        <f>BACKUP!C299</f>
        <v>31722</v>
      </c>
      <c r="D59" s="43">
        <f>BACKUP!D299</f>
        <v>52229</v>
      </c>
      <c r="E59" s="43">
        <f>BACKUP!E299</f>
        <v>12858</v>
      </c>
      <c r="F59" s="43">
        <f>BACKUP!F299</f>
        <v>24601</v>
      </c>
      <c r="G59" s="43">
        <f>BACKUP!G299</f>
        <v>10969</v>
      </c>
      <c r="H59" s="43">
        <f>BACKUP!H299</f>
        <v>10668</v>
      </c>
      <c r="I59" s="43">
        <f>BACKUP!I299</f>
        <v>12070</v>
      </c>
      <c r="J59" s="43">
        <f>BACKUP!J299</f>
        <v>13366</v>
      </c>
      <c r="K59" s="43">
        <f>BACKUP!K299</f>
        <v>13824</v>
      </c>
      <c r="L59" s="43">
        <f>BACKUP!L299</f>
        <v>13841</v>
      </c>
      <c r="M59" s="43">
        <f>BACKUP!M299</f>
        <v>13841</v>
      </c>
      <c r="N59" s="43">
        <f>BACKUP!N299</f>
        <v>13841</v>
      </c>
      <c r="O59" s="43">
        <f>BACKUP!O299</f>
        <v>14572</v>
      </c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44" t="str">
        <f t="shared" ref="AA59:AB67" si="42">A59</f>
        <v>A</v>
      </c>
      <c r="AB59" s="45" t="str">
        <f t="shared" si="42"/>
        <v xml:space="preserve">   Accounts Payable - Assoc. Companies / Trade</v>
      </c>
      <c r="AC59" s="46">
        <v>0</v>
      </c>
      <c r="AD59" s="46">
        <v>0</v>
      </c>
      <c r="AE59" s="46">
        <v>0</v>
      </c>
      <c r="AF59" s="46">
        <v>0</v>
      </c>
      <c r="AG59" s="46">
        <v>0</v>
      </c>
      <c r="AH59" s="46">
        <v>0</v>
      </c>
      <c r="AI59" s="46">
        <v>0</v>
      </c>
      <c r="AJ59" s="46">
        <v>0</v>
      </c>
      <c r="AK59" s="46">
        <v>0</v>
      </c>
      <c r="AL59" s="46">
        <v>0</v>
      </c>
      <c r="AM59" s="46">
        <v>0</v>
      </c>
      <c r="AN59" s="46">
        <v>0</v>
      </c>
      <c r="AO59" s="46">
        <v>0</v>
      </c>
      <c r="AP59" s="32"/>
      <c r="AQ59" s="43"/>
      <c r="AR59" s="32"/>
      <c r="BA59" s="44" t="str">
        <f t="shared" ref="BA59:BA67" si="43">AA59</f>
        <v>A</v>
      </c>
      <c r="BB59" s="45" t="str">
        <f t="shared" ref="BB59:BB67" si="44">B59</f>
        <v xml:space="preserve">   Accounts Payable - Assoc. Companies / Trade</v>
      </c>
      <c r="BC59" s="46">
        <v>50</v>
      </c>
      <c r="BD59" s="198">
        <f>BC59</f>
        <v>50</v>
      </c>
      <c r="BE59" s="198">
        <f t="shared" ref="BE59:BO59" si="45">BD59</f>
        <v>50</v>
      </c>
      <c r="BF59" s="198">
        <f t="shared" si="45"/>
        <v>50</v>
      </c>
      <c r="BG59" s="198">
        <f t="shared" si="45"/>
        <v>50</v>
      </c>
      <c r="BH59" s="198">
        <f t="shared" si="45"/>
        <v>50</v>
      </c>
      <c r="BI59" s="198">
        <f t="shared" si="45"/>
        <v>50</v>
      </c>
      <c r="BJ59" s="198">
        <f t="shared" si="45"/>
        <v>50</v>
      </c>
      <c r="BK59" s="198">
        <f t="shared" si="45"/>
        <v>50</v>
      </c>
      <c r="BL59" s="198">
        <f t="shared" si="45"/>
        <v>50</v>
      </c>
      <c r="BM59" s="198">
        <f t="shared" si="45"/>
        <v>50</v>
      </c>
      <c r="BN59" s="198">
        <f t="shared" si="45"/>
        <v>50</v>
      </c>
      <c r="BO59" s="198">
        <f t="shared" si="45"/>
        <v>50</v>
      </c>
      <c r="CA59" s="44" t="str">
        <f t="shared" ref="CA59:CA67" si="46">A59</f>
        <v>A</v>
      </c>
      <c r="CB59" s="45" t="str">
        <f t="shared" ref="CB59:CB67" si="47">B59</f>
        <v xml:space="preserve">   Accounts Payable - Assoc. Companies / Trade</v>
      </c>
      <c r="CC59" s="135">
        <f t="shared" ref="CC59:CC67" si="48">C59-AC59-BC59</f>
        <v>31672</v>
      </c>
      <c r="CD59" s="135">
        <f t="shared" ref="CD59:CD67" si="49">D59-AD59-BD59</f>
        <v>52179</v>
      </c>
      <c r="CE59" s="135">
        <f t="shared" ref="CE59:CE67" si="50">E59-AE59-BE59</f>
        <v>12808</v>
      </c>
      <c r="CF59" s="135">
        <f t="shared" ref="CF59:CF67" si="51">F59-AF59-BF59</f>
        <v>24551</v>
      </c>
      <c r="CG59" s="135">
        <f t="shared" ref="CG59:CG67" si="52">G59-AG59-BG59</f>
        <v>10919</v>
      </c>
      <c r="CH59" s="135">
        <f t="shared" ref="CH59:CH67" si="53">H59-AH59-BH59</f>
        <v>10618</v>
      </c>
      <c r="CI59" s="135">
        <f t="shared" ref="CI59:CI67" si="54">I59-AI59-BI59</f>
        <v>12020</v>
      </c>
      <c r="CJ59" s="135">
        <f t="shared" ref="CJ59:CJ67" si="55">J59-AJ59-BJ59</f>
        <v>13316</v>
      </c>
      <c r="CK59" s="135">
        <f t="shared" ref="CK59:CK67" si="56">K59-AK59-BK59</f>
        <v>13774</v>
      </c>
      <c r="CL59" s="135">
        <f t="shared" ref="CL59:CL67" si="57">L59-AL59-BL59</f>
        <v>13791</v>
      </c>
      <c r="CM59" s="135">
        <f t="shared" ref="CM59:CM67" si="58">M59-AM59-BM59</f>
        <v>13791</v>
      </c>
      <c r="CN59" s="135">
        <f t="shared" ref="CN59:CN67" si="59">N59-AN59-BN59</f>
        <v>13791</v>
      </c>
      <c r="CO59" s="135">
        <f t="shared" ref="CO59:CO67" si="60">O59-AO59-BO59</f>
        <v>14522</v>
      </c>
      <c r="CP59" s="32"/>
    </row>
    <row r="60" spans="1:94">
      <c r="A60" s="44" t="s">
        <v>218</v>
      </c>
      <c r="B60" s="55" t="s">
        <v>220</v>
      </c>
      <c r="C60" s="43">
        <f>BACKUP!C317</f>
        <v>0</v>
      </c>
      <c r="D60" s="43">
        <f>BACKUP!D317</f>
        <v>0</v>
      </c>
      <c r="E60" s="43">
        <f>BACKUP!E317</f>
        <v>0</v>
      </c>
      <c r="F60" s="43">
        <f>BACKUP!F317</f>
        <v>0</v>
      </c>
      <c r="G60" s="43">
        <f>BACKUP!G317</f>
        <v>0</v>
      </c>
      <c r="H60" s="43">
        <f>BACKUP!H317</f>
        <v>0</v>
      </c>
      <c r="I60" s="43">
        <f>BACKUP!I317</f>
        <v>0</v>
      </c>
      <c r="J60" s="43">
        <f>BACKUP!J317</f>
        <v>0</v>
      </c>
      <c r="K60" s="43">
        <f>BACKUP!K317</f>
        <v>3301</v>
      </c>
      <c r="L60" s="43">
        <f>BACKUP!L317</f>
        <v>5234</v>
      </c>
      <c r="M60" s="43">
        <f>BACKUP!M317</f>
        <v>1239</v>
      </c>
      <c r="N60" s="43">
        <f>BACKUP!N317</f>
        <v>-4702</v>
      </c>
      <c r="O60" s="43">
        <f>BACKUP!O317</f>
        <v>-6564</v>
      </c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44" t="str">
        <f t="shared" si="42"/>
        <v>A</v>
      </c>
      <c r="AB60" s="45" t="str">
        <f t="shared" si="42"/>
        <v xml:space="preserve">                               - Other</v>
      </c>
      <c r="AC60" s="46">
        <v>0</v>
      </c>
      <c r="AD60" s="46">
        <v>0</v>
      </c>
      <c r="AE60" s="46">
        <v>0</v>
      </c>
      <c r="AF60" s="46">
        <v>0</v>
      </c>
      <c r="AG60" s="46">
        <v>0</v>
      </c>
      <c r="AH60" s="46">
        <v>0</v>
      </c>
      <c r="AI60" s="46">
        <v>0</v>
      </c>
      <c r="AJ60" s="46">
        <v>0</v>
      </c>
      <c r="AK60" s="46">
        <v>0</v>
      </c>
      <c r="AL60" s="46">
        <v>0</v>
      </c>
      <c r="AM60" s="46">
        <v>0</v>
      </c>
      <c r="AN60" s="46">
        <v>0</v>
      </c>
      <c r="AO60" s="46">
        <v>0</v>
      </c>
      <c r="AP60" s="32"/>
      <c r="AQ60" s="32"/>
      <c r="AR60" s="32"/>
      <c r="BA60" s="44" t="str">
        <f t="shared" si="43"/>
        <v>A</v>
      </c>
      <c r="BB60" s="45" t="str">
        <f t="shared" si="44"/>
        <v xml:space="preserve">                               - Other</v>
      </c>
      <c r="BC60" s="46">
        <v>0</v>
      </c>
      <c r="BD60" s="46">
        <v>0</v>
      </c>
      <c r="BE60" s="46">
        <v>0</v>
      </c>
      <c r="BF60" s="46">
        <v>0</v>
      </c>
      <c r="BG60" s="46">
        <v>0</v>
      </c>
      <c r="BH60" s="46">
        <v>0</v>
      </c>
      <c r="BI60" s="46">
        <v>0</v>
      </c>
      <c r="BJ60" s="46">
        <v>0</v>
      </c>
      <c r="BK60" s="46">
        <v>0</v>
      </c>
      <c r="BL60" s="46">
        <v>0</v>
      </c>
      <c r="BM60" s="46">
        <v>0</v>
      </c>
      <c r="BN60" s="46">
        <v>0</v>
      </c>
      <c r="BO60" s="46">
        <v>0</v>
      </c>
      <c r="CA60" s="44" t="str">
        <f t="shared" si="46"/>
        <v>A</v>
      </c>
      <c r="CB60" s="45" t="str">
        <f t="shared" si="47"/>
        <v xml:space="preserve">                               - Other</v>
      </c>
      <c r="CC60" s="135">
        <f t="shared" si="48"/>
        <v>0</v>
      </c>
      <c r="CD60" s="135">
        <f t="shared" si="49"/>
        <v>0</v>
      </c>
      <c r="CE60" s="135">
        <f t="shared" si="50"/>
        <v>0</v>
      </c>
      <c r="CF60" s="135">
        <f t="shared" si="51"/>
        <v>0</v>
      </c>
      <c r="CG60" s="135">
        <f t="shared" si="52"/>
        <v>0</v>
      </c>
      <c r="CH60" s="135">
        <f t="shared" si="53"/>
        <v>0</v>
      </c>
      <c r="CI60" s="135">
        <f t="shared" si="54"/>
        <v>0</v>
      </c>
      <c r="CJ60" s="135">
        <f t="shared" si="55"/>
        <v>0</v>
      </c>
      <c r="CK60" s="135">
        <f t="shared" si="56"/>
        <v>3301</v>
      </c>
      <c r="CL60" s="135">
        <f t="shared" si="57"/>
        <v>5234</v>
      </c>
      <c r="CM60" s="135">
        <f t="shared" si="58"/>
        <v>1239</v>
      </c>
      <c r="CN60" s="135">
        <f t="shared" si="59"/>
        <v>-4702</v>
      </c>
      <c r="CO60" s="135">
        <f t="shared" si="60"/>
        <v>-6564</v>
      </c>
      <c r="CP60" s="32"/>
    </row>
    <row r="61" spans="1:94">
      <c r="A61" s="44" t="s">
        <v>221</v>
      </c>
      <c r="B61" s="55" t="s">
        <v>572</v>
      </c>
      <c r="C61" s="43">
        <f>BACKUP!C333</f>
        <v>0</v>
      </c>
      <c r="D61" s="43">
        <f>BACKUP!D333</f>
        <v>0</v>
      </c>
      <c r="E61" s="43">
        <f>BACKUP!E333</f>
        <v>0</v>
      </c>
      <c r="F61" s="43">
        <f>BACKUP!F333</f>
        <v>0</v>
      </c>
      <c r="G61" s="43">
        <f>BACKUP!G333</f>
        <v>0</v>
      </c>
      <c r="H61" s="43">
        <f>BACKUP!H333</f>
        <v>0</v>
      </c>
      <c r="I61" s="43">
        <f>BACKUP!I333</f>
        <v>100</v>
      </c>
      <c r="J61" s="43">
        <f>BACKUP!J333</f>
        <v>1308</v>
      </c>
      <c r="K61" s="43">
        <f>BACKUP!K333</f>
        <v>1308</v>
      </c>
      <c r="L61" s="43">
        <f>BACKUP!L333</f>
        <v>1308</v>
      </c>
      <c r="M61" s="43">
        <f>BACKUP!M333</f>
        <v>1308</v>
      </c>
      <c r="N61" s="43">
        <f>BACKUP!N333</f>
        <v>1308</v>
      </c>
      <c r="O61" s="43">
        <f>BACKUP!O333</f>
        <v>1308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44" t="str">
        <f t="shared" si="42"/>
        <v>B</v>
      </c>
      <c r="AB61" s="45" t="str">
        <f t="shared" si="42"/>
        <v xml:space="preserve">   Liability Price Risk Management</v>
      </c>
      <c r="AC61" s="46">
        <v>0</v>
      </c>
      <c r="AD61" s="46">
        <v>0</v>
      </c>
      <c r="AE61" s="46">
        <v>0</v>
      </c>
      <c r="AF61" s="46">
        <v>0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0</v>
      </c>
      <c r="AN61" s="46">
        <v>0</v>
      </c>
      <c r="AO61" s="46">
        <v>0</v>
      </c>
      <c r="AP61" s="32"/>
      <c r="AQ61" s="43"/>
      <c r="AR61" s="32"/>
      <c r="BA61" s="44" t="str">
        <f t="shared" si="43"/>
        <v>B</v>
      </c>
      <c r="BB61" s="45" t="str">
        <f t="shared" si="44"/>
        <v xml:space="preserve">   Liability Price Risk Management</v>
      </c>
      <c r="BC61" s="46">
        <v>0</v>
      </c>
      <c r="BD61" s="46">
        <v>0</v>
      </c>
      <c r="BE61" s="46">
        <v>0</v>
      </c>
      <c r="BF61" s="46">
        <v>0</v>
      </c>
      <c r="BG61" s="46">
        <v>0</v>
      </c>
      <c r="BH61" s="46">
        <v>0</v>
      </c>
      <c r="BI61" s="46">
        <v>0</v>
      </c>
      <c r="BJ61" s="46">
        <v>0</v>
      </c>
      <c r="BK61" s="46">
        <v>0</v>
      </c>
      <c r="BL61" s="46">
        <v>0</v>
      </c>
      <c r="BM61" s="46">
        <v>0</v>
      </c>
      <c r="BN61" s="46">
        <v>0</v>
      </c>
      <c r="BO61" s="46">
        <v>0</v>
      </c>
      <c r="CA61" s="44" t="str">
        <f t="shared" si="46"/>
        <v>B</v>
      </c>
      <c r="CB61" s="45" t="str">
        <f t="shared" si="47"/>
        <v xml:space="preserve">   Liability Price Risk Management</v>
      </c>
      <c r="CC61" s="135">
        <f t="shared" si="48"/>
        <v>0</v>
      </c>
      <c r="CD61" s="135">
        <f t="shared" si="49"/>
        <v>0</v>
      </c>
      <c r="CE61" s="135">
        <f t="shared" si="50"/>
        <v>0</v>
      </c>
      <c r="CF61" s="135">
        <f t="shared" si="51"/>
        <v>0</v>
      </c>
      <c r="CG61" s="135">
        <f t="shared" si="52"/>
        <v>0</v>
      </c>
      <c r="CH61" s="135">
        <f t="shared" si="53"/>
        <v>0</v>
      </c>
      <c r="CI61" s="135">
        <f t="shared" si="54"/>
        <v>100</v>
      </c>
      <c r="CJ61" s="135">
        <f t="shared" si="55"/>
        <v>1308</v>
      </c>
      <c r="CK61" s="135">
        <f t="shared" si="56"/>
        <v>1308</v>
      </c>
      <c r="CL61" s="135">
        <f t="shared" si="57"/>
        <v>1308</v>
      </c>
      <c r="CM61" s="135">
        <f t="shared" si="58"/>
        <v>1308</v>
      </c>
      <c r="CN61" s="135">
        <f t="shared" si="59"/>
        <v>1308</v>
      </c>
      <c r="CO61" s="135">
        <f t="shared" si="60"/>
        <v>1308</v>
      </c>
      <c r="CP61" s="32"/>
    </row>
    <row r="62" spans="1:94">
      <c r="A62" s="44" t="s">
        <v>221</v>
      </c>
      <c r="B62" s="45" t="s">
        <v>222</v>
      </c>
      <c r="C62" s="43">
        <f>BACKUP!C341</f>
        <v>69748</v>
      </c>
      <c r="D62" s="43">
        <f>BACKUP!D341</f>
        <v>102092</v>
      </c>
      <c r="E62" s="43">
        <f>BACKUP!E341</f>
        <v>87633</v>
      </c>
      <c r="F62" s="43">
        <f>BACKUP!F341</f>
        <v>72753</v>
      </c>
      <c r="G62" s="43">
        <f>BACKUP!G341</f>
        <v>75153</v>
      </c>
      <c r="H62" s="43">
        <f>BACKUP!H341</f>
        <v>66180</v>
      </c>
      <c r="I62" s="43">
        <f>BACKUP!I341</f>
        <v>67260</v>
      </c>
      <c r="J62" s="43">
        <f>BACKUP!J341</f>
        <v>45493</v>
      </c>
      <c r="K62" s="43">
        <f>BACKUP!K341</f>
        <v>45493</v>
      </c>
      <c r="L62" s="43">
        <f>BACKUP!L341</f>
        <v>45493</v>
      </c>
      <c r="M62" s="43">
        <f>BACKUP!M341</f>
        <v>45493</v>
      </c>
      <c r="N62" s="43">
        <f>BACKUP!N341</f>
        <v>45493</v>
      </c>
      <c r="O62" s="43">
        <f>BACKUP!O341</f>
        <v>45493</v>
      </c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44" t="str">
        <f t="shared" si="42"/>
        <v>B</v>
      </c>
      <c r="AB62" s="45" t="str">
        <f t="shared" si="42"/>
        <v xml:space="preserve">   Exchange Gas Payable</v>
      </c>
      <c r="AC62" s="46">
        <v>0</v>
      </c>
      <c r="AD62" s="46">
        <v>0</v>
      </c>
      <c r="AE62" s="46">
        <v>0</v>
      </c>
      <c r="AF62" s="46">
        <v>0</v>
      </c>
      <c r="AG62" s="46">
        <v>0</v>
      </c>
      <c r="AH62" s="46">
        <v>0</v>
      </c>
      <c r="AI62" s="46">
        <v>0</v>
      </c>
      <c r="AJ62" s="46">
        <v>0</v>
      </c>
      <c r="AK62" s="46">
        <v>0</v>
      </c>
      <c r="AL62" s="46">
        <v>0</v>
      </c>
      <c r="AM62" s="46">
        <v>0</v>
      </c>
      <c r="AN62" s="46">
        <v>0</v>
      </c>
      <c r="AO62" s="46">
        <v>0</v>
      </c>
      <c r="AP62" s="32"/>
      <c r="AQ62" s="43"/>
      <c r="AR62" s="32"/>
      <c r="BA62" s="44" t="str">
        <f t="shared" si="43"/>
        <v>B</v>
      </c>
      <c r="BB62" s="45" t="str">
        <f t="shared" si="44"/>
        <v xml:space="preserve">   Exchange Gas Payable</v>
      </c>
      <c r="BC62" s="46">
        <v>0</v>
      </c>
      <c r="BD62" s="46">
        <v>0</v>
      </c>
      <c r="BE62" s="46">
        <v>0</v>
      </c>
      <c r="BF62" s="46">
        <v>0</v>
      </c>
      <c r="BG62" s="46">
        <v>0</v>
      </c>
      <c r="BH62" s="46">
        <v>0</v>
      </c>
      <c r="BI62" s="46">
        <v>0</v>
      </c>
      <c r="BJ62" s="46">
        <v>0</v>
      </c>
      <c r="BK62" s="46">
        <v>0</v>
      </c>
      <c r="BL62" s="46">
        <v>0</v>
      </c>
      <c r="BM62" s="46">
        <v>0</v>
      </c>
      <c r="BN62" s="46">
        <v>0</v>
      </c>
      <c r="BO62" s="46">
        <v>0</v>
      </c>
      <c r="CA62" s="44" t="str">
        <f t="shared" si="46"/>
        <v>B</v>
      </c>
      <c r="CB62" s="45" t="str">
        <f t="shared" si="47"/>
        <v xml:space="preserve">   Exchange Gas Payable</v>
      </c>
      <c r="CC62" s="135">
        <f t="shared" si="48"/>
        <v>69748</v>
      </c>
      <c r="CD62" s="135">
        <f t="shared" si="49"/>
        <v>102092</v>
      </c>
      <c r="CE62" s="135">
        <f t="shared" si="50"/>
        <v>87633</v>
      </c>
      <c r="CF62" s="135">
        <f t="shared" si="51"/>
        <v>72753</v>
      </c>
      <c r="CG62" s="135">
        <f t="shared" si="52"/>
        <v>75153</v>
      </c>
      <c r="CH62" s="135">
        <f t="shared" si="53"/>
        <v>66180</v>
      </c>
      <c r="CI62" s="135">
        <f t="shared" si="54"/>
        <v>67260</v>
      </c>
      <c r="CJ62" s="135">
        <f t="shared" si="55"/>
        <v>45493</v>
      </c>
      <c r="CK62" s="135">
        <f t="shared" si="56"/>
        <v>45493</v>
      </c>
      <c r="CL62" s="135">
        <f t="shared" si="57"/>
        <v>45493</v>
      </c>
      <c r="CM62" s="135">
        <f t="shared" si="58"/>
        <v>45493</v>
      </c>
      <c r="CN62" s="135">
        <f t="shared" si="59"/>
        <v>45493</v>
      </c>
      <c r="CO62" s="135">
        <f t="shared" si="60"/>
        <v>45493</v>
      </c>
      <c r="CP62" s="32"/>
    </row>
    <row r="63" spans="1:94">
      <c r="A63" s="44" t="s">
        <v>221</v>
      </c>
      <c r="B63" s="45" t="s">
        <v>223</v>
      </c>
      <c r="C63" s="43">
        <f>BACKUP!C366</f>
        <v>25457</v>
      </c>
      <c r="D63" s="43">
        <f>BACKUP!D366</f>
        <v>24562</v>
      </c>
      <c r="E63" s="43">
        <f>BACKUP!E366</f>
        <v>28662</v>
      </c>
      <c r="F63" s="43">
        <f>BACKUP!F366</f>
        <v>27244</v>
      </c>
      <c r="G63" s="43">
        <f>BACKUP!G366</f>
        <v>28999</v>
      </c>
      <c r="H63" s="43">
        <f>BACKUP!H366</f>
        <v>25378</v>
      </c>
      <c r="I63" s="43">
        <f>BACKUP!I366</f>
        <v>23505</v>
      </c>
      <c r="J63" s="43">
        <f>BACKUP!J366</f>
        <v>25898</v>
      </c>
      <c r="K63" s="43">
        <f>BACKUP!K366</f>
        <v>27679</v>
      </c>
      <c r="L63" s="43">
        <f>BACKUP!L366</f>
        <v>27121</v>
      </c>
      <c r="M63" s="43">
        <f>BACKUP!M366</f>
        <v>27355</v>
      </c>
      <c r="N63" s="43">
        <f>BACKUP!N366</f>
        <v>29239</v>
      </c>
      <c r="O63" s="43">
        <f>BACKUP!O366</f>
        <v>26410</v>
      </c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44" t="str">
        <f t="shared" si="42"/>
        <v>B</v>
      </c>
      <c r="AB63" s="45" t="str">
        <f t="shared" si="42"/>
        <v xml:space="preserve">   Accrued Taxes</v>
      </c>
      <c r="AC63" s="46">
        <v>672</v>
      </c>
      <c r="AD63" s="198">
        <f>AC63</f>
        <v>672</v>
      </c>
      <c r="AE63" s="198">
        <f t="shared" ref="AE63:AO63" si="61">AD63</f>
        <v>672</v>
      </c>
      <c r="AF63" s="198">
        <f t="shared" si="61"/>
        <v>672</v>
      </c>
      <c r="AG63" s="198">
        <f t="shared" si="61"/>
        <v>672</v>
      </c>
      <c r="AH63" s="198">
        <f t="shared" si="61"/>
        <v>672</v>
      </c>
      <c r="AI63" s="198">
        <f t="shared" si="61"/>
        <v>672</v>
      </c>
      <c r="AJ63" s="198">
        <f t="shared" si="61"/>
        <v>672</v>
      </c>
      <c r="AK63" s="198">
        <f t="shared" si="61"/>
        <v>672</v>
      </c>
      <c r="AL63" s="198">
        <f t="shared" si="61"/>
        <v>672</v>
      </c>
      <c r="AM63" s="198">
        <f t="shared" si="61"/>
        <v>672</v>
      </c>
      <c r="AN63" s="198">
        <f t="shared" si="61"/>
        <v>672</v>
      </c>
      <c r="AO63" s="198">
        <f t="shared" si="61"/>
        <v>672</v>
      </c>
      <c r="AP63" s="32"/>
      <c r="AQ63" s="43"/>
      <c r="AR63" s="32"/>
      <c r="BA63" s="44" t="str">
        <f t="shared" si="43"/>
        <v>B</v>
      </c>
      <c r="BB63" s="45" t="str">
        <f t="shared" si="44"/>
        <v xml:space="preserve">   Accrued Taxes</v>
      </c>
      <c r="BC63" s="46">
        <v>230</v>
      </c>
      <c r="BD63" s="198">
        <f>BC63</f>
        <v>230</v>
      </c>
      <c r="BE63" s="198">
        <f t="shared" ref="BE63:BO63" si="62">BD63</f>
        <v>230</v>
      </c>
      <c r="BF63" s="198">
        <f t="shared" si="62"/>
        <v>230</v>
      </c>
      <c r="BG63" s="198">
        <f t="shared" si="62"/>
        <v>230</v>
      </c>
      <c r="BH63" s="198">
        <f t="shared" si="62"/>
        <v>230</v>
      </c>
      <c r="BI63" s="198">
        <f t="shared" si="62"/>
        <v>230</v>
      </c>
      <c r="BJ63" s="198">
        <f t="shared" si="62"/>
        <v>230</v>
      </c>
      <c r="BK63" s="198">
        <f t="shared" si="62"/>
        <v>230</v>
      </c>
      <c r="BL63" s="198">
        <f t="shared" si="62"/>
        <v>230</v>
      </c>
      <c r="BM63" s="198">
        <f t="shared" si="62"/>
        <v>230</v>
      </c>
      <c r="BN63" s="198">
        <f t="shared" si="62"/>
        <v>230</v>
      </c>
      <c r="BO63" s="198">
        <f t="shared" si="62"/>
        <v>230</v>
      </c>
      <c r="CA63" s="44" t="str">
        <f t="shared" si="46"/>
        <v>B</v>
      </c>
      <c r="CB63" s="45" t="str">
        <f t="shared" si="47"/>
        <v xml:space="preserve">   Accrued Taxes</v>
      </c>
      <c r="CC63" s="135">
        <f t="shared" si="48"/>
        <v>24555</v>
      </c>
      <c r="CD63" s="135">
        <f t="shared" si="49"/>
        <v>23660</v>
      </c>
      <c r="CE63" s="135">
        <f t="shared" si="50"/>
        <v>27760</v>
      </c>
      <c r="CF63" s="135">
        <f t="shared" si="51"/>
        <v>26342</v>
      </c>
      <c r="CG63" s="135">
        <f t="shared" si="52"/>
        <v>28097</v>
      </c>
      <c r="CH63" s="135">
        <f t="shared" si="53"/>
        <v>24476</v>
      </c>
      <c r="CI63" s="135">
        <f t="shared" si="54"/>
        <v>22603</v>
      </c>
      <c r="CJ63" s="135">
        <f t="shared" si="55"/>
        <v>24996</v>
      </c>
      <c r="CK63" s="135">
        <f t="shared" si="56"/>
        <v>26777</v>
      </c>
      <c r="CL63" s="135">
        <f t="shared" si="57"/>
        <v>26219</v>
      </c>
      <c r="CM63" s="135">
        <f t="shared" si="58"/>
        <v>26453</v>
      </c>
      <c r="CN63" s="135">
        <f t="shared" si="59"/>
        <v>28337</v>
      </c>
      <c r="CO63" s="135">
        <f t="shared" si="60"/>
        <v>25508</v>
      </c>
      <c r="CP63" s="32"/>
    </row>
    <row r="64" spans="1:94">
      <c r="A64" s="44" t="s">
        <v>224</v>
      </c>
      <c r="B64" s="45" t="s">
        <v>225</v>
      </c>
      <c r="C64" s="43">
        <f>BACKUP!C376</f>
        <v>2374</v>
      </c>
      <c r="D64" s="43">
        <f>BACKUP!D376</f>
        <v>2474</v>
      </c>
      <c r="E64" s="43">
        <f>BACKUP!E376</f>
        <v>2476</v>
      </c>
      <c r="F64" s="43">
        <f>BACKUP!F376</f>
        <v>2476</v>
      </c>
      <c r="G64" s="43">
        <f>BACKUP!G376</f>
        <v>2477</v>
      </c>
      <c r="H64" s="43">
        <f>BACKUP!H376</f>
        <v>2478</v>
      </c>
      <c r="I64" s="43">
        <f>BACKUP!I376</f>
        <v>2478</v>
      </c>
      <c r="J64" s="43">
        <f>BACKUP!J376</f>
        <v>2479</v>
      </c>
      <c r="K64" s="43">
        <f>BACKUP!K376</f>
        <v>2479</v>
      </c>
      <c r="L64" s="43">
        <f>BACKUP!L376</f>
        <v>2479</v>
      </c>
      <c r="M64" s="43">
        <f>BACKUP!M376</f>
        <v>2479</v>
      </c>
      <c r="N64" s="43">
        <f>BACKUP!N376</f>
        <v>2479</v>
      </c>
      <c r="O64" s="43">
        <f>BACKUP!O376</f>
        <v>2479</v>
      </c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44" t="str">
        <f t="shared" si="42"/>
        <v>C</v>
      </c>
      <c r="AB64" s="45" t="str">
        <f t="shared" si="42"/>
        <v xml:space="preserve">   Deferred Income Taxes - Current</v>
      </c>
      <c r="AC64" s="46">
        <v>0</v>
      </c>
      <c r="AD64" s="198">
        <f>AC64</f>
        <v>0</v>
      </c>
      <c r="AE64" s="198">
        <f t="shared" ref="AE64:AO64" si="63">AD64</f>
        <v>0</v>
      </c>
      <c r="AF64" s="198">
        <f t="shared" si="63"/>
        <v>0</v>
      </c>
      <c r="AG64" s="198">
        <f t="shared" si="63"/>
        <v>0</v>
      </c>
      <c r="AH64" s="198">
        <f t="shared" si="63"/>
        <v>0</v>
      </c>
      <c r="AI64" s="198">
        <f t="shared" si="63"/>
        <v>0</v>
      </c>
      <c r="AJ64" s="198">
        <f t="shared" si="63"/>
        <v>0</v>
      </c>
      <c r="AK64" s="198">
        <f t="shared" si="63"/>
        <v>0</v>
      </c>
      <c r="AL64" s="198">
        <f t="shared" si="63"/>
        <v>0</v>
      </c>
      <c r="AM64" s="198">
        <f t="shared" si="63"/>
        <v>0</v>
      </c>
      <c r="AN64" s="198">
        <f t="shared" si="63"/>
        <v>0</v>
      </c>
      <c r="AO64" s="198">
        <f t="shared" si="63"/>
        <v>0</v>
      </c>
      <c r="AP64" s="32"/>
      <c r="AQ64" s="43"/>
      <c r="AR64" s="32"/>
      <c r="BA64" s="44" t="str">
        <f t="shared" si="43"/>
        <v>C</v>
      </c>
      <c r="BB64" s="45" t="str">
        <f t="shared" si="44"/>
        <v xml:space="preserve">   Deferred Income Taxes - Current</v>
      </c>
      <c r="BC64" s="46">
        <v>0</v>
      </c>
      <c r="BD64" s="198">
        <f>BC64</f>
        <v>0</v>
      </c>
      <c r="BE64" s="198">
        <f t="shared" ref="BE64:BO64" si="64">BD64</f>
        <v>0</v>
      </c>
      <c r="BF64" s="198">
        <f t="shared" si="64"/>
        <v>0</v>
      </c>
      <c r="BG64" s="198">
        <f t="shared" si="64"/>
        <v>0</v>
      </c>
      <c r="BH64" s="198">
        <f t="shared" si="64"/>
        <v>0</v>
      </c>
      <c r="BI64" s="198">
        <f t="shared" si="64"/>
        <v>0</v>
      </c>
      <c r="BJ64" s="198">
        <f t="shared" si="64"/>
        <v>0</v>
      </c>
      <c r="BK64" s="198">
        <f t="shared" si="64"/>
        <v>0</v>
      </c>
      <c r="BL64" s="198">
        <f t="shared" si="64"/>
        <v>0</v>
      </c>
      <c r="BM64" s="198">
        <f t="shared" si="64"/>
        <v>0</v>
      </c>
      <c r="BN64" s="198">
        <f t="shared" si="64"/>
        <v>0</v>
      </c>
      <c r="BO64" s="198">
        <f t="shared" si="64"/>
        <v>0</v>
      </c>
      <c r="CA64" s="44" t="str">
        <f t="shared" si="46"/>
        <v>C</v>
      </c>
      <c r="CB64" s="45" t="str">
        <f t="shared" si="47"/>
        <v xml:space="preserve">   Deferred Income Taxes - Current</v>
      </c>
      <c r="CC64" s="135">
        <f t="shared" si="48"/>
        <v>2374</v>
      </c>
      <c r="CD64" s="135">
        <f t="shared" si="49"/>
        <v>2474</v>
      </c>
      <c r="CE64" s="135">
        <f t="shared" si="50"/>
        <v>2476</v>
      </c>
      <c r="CF64" s="135">
        <f t="shared" si="51"/>
        <v>2476</v>
      </c>
      <c r="CG64" s="135">
        <f t="shared" si="52"/>
        <v>2477</v>
      </c>
      <c r="CH64" s="135">
        <f t="shared" si="53"/>
        <v>2478</v>
      </c>
      <c r="CI64" s="135">
        <f t="shared" si="54"/>
        <v>2478</v>
      </c>
      <c r="CJ64" s="135">
        <f t="shared" si="55"/>
        <v>2479</v>
      </c>
      <c r="CK64" s="135">
        <f t="shared" si="56"/>
        <v>2479</v>
      </c>
      <c r="CL64" s="135">
        <f t="shared" si="57"/>
        <v>2479</v>
      </c>
      <c r="CM64" s="135">
        <f t="shared" si="58"/>
        <v>2479</v>
      </c>
      <c r="CN64" s="135">
        <f t="shared" si="59"/>
        <v>2479</v>
      </c>
      <c r="CO64" s="135">
        <f t="shared" si="60"/>
        <v>2479</v>
      </c>
      <c r="CP64" s="32"/>
    </row>
    <row r="65" spans="1:94">
      <c r="A65" s="44" t="s">
        <v>221</v>
      </c>
      <c r="B65" s="45" t="s">
        <v>226</v>
      </c>
      <c r="C65" s="43">
        <f>BACKUP!C396</f>
        <v>5634</v>
      </c>
      <c r="D65" s="43">
        <f>BACKUP!D396</f>
        <v>8509</v>
      </c>
      <c r="E65" s="43">
        <f>BACKUP!E396</f>
        <v>11384</v>
      </c>
      <c r="F65" s="43">
        <f>BACKUP!F396</f>
        <v>9197</v>
      </c>
      <c r="G65" s="43">
        <f>BACKUP!G396</f>
        <v>12072</v>
      </c>
      <c r="H65" s="43">
        <f>BACKUP!H396</f>
        <v>11509</v>
      </c>
      <c r="I65" s="43">
        <f>BACKUP!I396</f>
        <v>5634</v>
      </c>
      <c r="J65" s="43">
        <f>BACKUP!J396</f>
        <v>8509</v>
      </c>
      <c r="K65" s="43">
        <f>BACKUP!K396</f>
        <v>11384</v>
      </c>
      <c r="L65" s="43">
        <f>BACKUP!L396</f>
        <v>9197</v>
      </c>
      <c r="M65" s="43">
        <f>BACKUP!M396</f>
        <v>12072</v>
      </c>
      <c r="N65" s="43">
        <f>BACKUP!N396</f>
        <v>11509</v>
      </c>
      <c r="O65" s="43">
        <f>BACKUP!O396</f>
        <v>5634</v>
      </c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44" t="str">
        <f t="shared" si="42"/>
        <v>B</v>
      </c>
      <c r="AB65" s="45" t="str">
        <f t="shared" si="42"/>
        <v xml:space="preserve">   Accrued Interest</v>
      </c>
      <c r="AC65" s="46">
        <v>0</v>
      </c>
      <c r="AD65" s="46">
        <v>0</v>
      </c>
      <c r="AE65" s="46">
        <v>0</v>
      </c>
      <c r="AF65" s="46">
        <v>0</v>
      </c>
      <c r="AG65" s="46">
        <v>0</v>
      </c>
      <c r="AH65" s="46">
        <v>0</v>
      </c>
      <c r="AI65" s="46">
        <v>0</v>
      </c>
      <c r="AJ65" s="46">
        <v>0</v>
      </c>
      <c r="AK65" s="46">
        <v>0</v>
      </c>
      <c r="AL65" s="46">
        <v>0</v>
      </c>
      <c r="AM65" s="46">
        <v>0</v>
      </c>
      <c r="AN65" s="46">
        <v>0</v>
      </c>
      <c r="AO65" s="46">
        <v>0</v>
      </c>
      <c r="AP65" s="32"/>
      <c r="AQ65" s="43"/>
      <c r="AR65" s="32"/>
      <c r="BA65" s="44" t="str">
        <f t="shared" si="43"/>
        <v>B</v>
      </c>
      <c r="BB65" s="45" t="str">
        <f t="shared" si="44"/>
        <v xml:space="preserve">   Accrued Interest</v>
      </c>
      <c r="BC65" s="46">
        <v>0</v>
      </c>
      <c r="BD65" s="46">
        <v>0</v>
      </c>
      <c r="BE65" s="46">
        <v>0</v>
      </c>
      <c r="BF65" s="46">
        <v>0</v>
      </c>
      <c r="BG65" s="46">
        <v>0</v>
      </c>
      <c r="BH65" s="46">
        <v>0</v>
      </c>
      <c r="BI65" s="46">
        <v>0</v>
      </c>
      <c r="BJ65" s="46">
        <v>0</v>
      </c>
      <c r="BK65" s="46">
        <v>0</v>
      </c>
      <c r="BL65" s="46">
        <v>0</v>
      </c>
      <c r="BM65" s="46">
        <v>0</v>
      </c>
      <c r="BN65" s="46">
        <v>0</v>
      </c>
      <c r="BO65" s="46">
        <v>0</v>
      </c>
      <c r="CA65" s="44" t="str">
        <f t="shared" si="46"/>
        <v>B</v>
      </c>
      <c r="CB65" s="45" t="str">
        <f t="shared" si="47"/>
        <v xml:space="preserve">   Accrued Interest</v>
      </c>
      <c r="CC65" s="135">
        <f t="shared" si="48"/>
        <v>5634</v>
      </c>
      <c r="CD65" s="135">
        <f t="shared" si="49"/>
        <v>8509</v>
      </c>
      <c r="CE65" s="135">
        <f t="shared" si="50"/>
        <v>11384</v>
      </c>
      <c r="CF65" s="135">
        <f t="shared" si="51"/>
        <v>9197</v>
      </c>
      <c r="CG65" s="135">
        <f t="shared" si="52"/>
        <v>12072</v>
      </c>
      <c r="CH65" s="135">
        <f t="shared" si="53"/>
        <v>11509</v>
      </c>
      <c r="CI65" s="135">
        <f t="shared" si="54"/>
        <v>5634</v>
      </c>
      <c r="CJ65" s="135">
        <f t="shared" si="55"/>
        <v>8509</v>
      </c>
      <c r="CK65" s="135">
        <f t="shared" si="56"/>
        <v>11384</v>
      </c>
      <c r="CL65" s="135">
        <f t="shared" si="57"/>
        <v>9197</v>
      </c>
      <c r="CM65" s="135">
        <f t="shared" si="58"/>
        <v>12072</v>
      </c>
      <c r="CN65" s="135">
        <f t="shared" si="59"/>
        <v>11509</v>
      </c>
      <c r="CO65" s="135">
        <f t="shared" si="60"/>
        <v>5634</v>
      </c>
      <c r="CP65" s="32"/>
    </row>
    <row r="66" spans="1:94">
      <c r="A66" s="44" t="s">
        <v>228</v>
      </c>
      <c r="B66" s="55" t="s">
        <v>567</v>
      </c>
      <c r="C66" s="43">
        <f>BACKUP!C427</f>
        <v>12256</v>
      </c>
      <c r="D66" s="43">
        <f>BACKUP!D427</f>
        <v>19361</v>
      </c>
      <c r="E66" s="43">
        <f>BACKUP!E427</f>
        <v>10590</v>
      </c>
      <c r="F66" s="43">
        <f>BACKUP!F427</f>
        <v>9548</v>
      </c>
      <c r="G66" s="43">
        <f>BACKUP!G427</f>
        <v>8526</v>
      </c>
      <c r="H66" s="43">
        <f>BACKUP!H427</f>
        <v>4870</v>
      </c>
      <c r="I66" s="43">
        <f>BACKUP!I427</f>
        <v>5420</v>
      </c>
      <c r="J66" s="43">
        <f>BACKUP!J427</f>
        <v>2887</v>
      </c>
      <c r="K66" s="43">
        <f>BACKUP!K427</f>
        <v>2815</v>
      </c>
      <c r="L66" s="43">
        <f>BACKUP!L427</f>
        <v>2816</v>
      </c>
      <c r="M66" s="43">
        <f>BACKUP!M427</f>
        <v>2817</v>
      </c>
      <c r="N66" s="43">
        <f>BACKUP!N427</f>
        <v>3407</v>
      </c>
      <c r="O66" s="43">
        <f>BACKUP!O427</f>
        <v>4001</v>
      </c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44" t="str">
        <f t="shared" si="42"/>
        <v>F</v>
      </c>
      <c r="AB66" s="45" t="str">
        <f t="shared" si="42"/>
        <v xml:space="preserve">   Regulatory Liabilities</v>
      </c>
      <c r="AC66" s="46">
        <v>0</v>
      </c>
      <c r="AD66" s="46">
        <v>0</v>
      </c>
      <c r="AE66" s="46">
        <v>0</v>
      </c>
      <c r="AF66" s="46">
        <v>0</v>
      </c>
      <c r="AG66" s="46">
        <v>0</v>
      </c>
      <c r="AH66" s="46">
        <v>0</v>
      </c>
      <c r="AI66" s="46">
        <v>0</v>
      </c>
      <c r="AJ66" s="46">
        <v>0</v>
      </c>
      <c r="AK66" s="46">
        <v>0</v>
      </c>
      <c r="AL66" s="46">
        <v>0</v>
      </c>
      <c r="AM66" s="46">
        <v>0</v>
      </c>
      <c r="AN66" s="46">
        <v>0</v>
      </c>
      <c r="AO66" s="46">
        <v>0</v>
      </c>
      <c r="AP66" s="32"/>
      <c r="AQ66" s="32"/>
      <c r="AR66" s="32"/>
      <c r="BA66" s="44" t="str">
        <f t="shared" si="43"/>
        <v>F</v>
      </c>
      <c r="BB66" s="45" t="str">
        <f t="shared" si="44"/>
        <v xml:space="preserve">   Regulatory Liabilities</v>
      </c>
      <c r="BC66" s="46">
        <v>0</v>
      </c>
      <c r="BD66" s="46">
        <v>0</v>
      </c>
      <c r="BE66" s="46">
        <v>0</v>
      </c>
      <c r="BF66" s="46">
        <v>0</v>
      </c>
      <c r="BG66" s="46">
        <v>0</v>
      </c>
      <c r="BH66" s="46">
        <v>0</v>
      </c>
      <c r="BI66" s="46">
        <v>0</v>
      </c>
      <c r="BJ66" s="46">
        <v>0</v>
      </c>
      <c r="BK66" s="46">
        <v>0</v>
      </c>
      <c r="BL66" s="46">
        <v>0</v>
      </c>
      <c r="BM66" s="46">
        <v>0</v>
      </c>
      <c r="BN66" s="46">
        <v>0</v>
      </c>
      <c r="BO66" s="46">
        <v>0</v>
      </c>
      <c r="CA66" s="44" t="str">
        <f t="shared" si="46"/>
        <v>F</v>
      </c>
      <c r="CB66" s="45" t="str">
        <f t="shared" si="47"/>
        <v xml:space="preserve">   Regulatory Liabilities</v>
      </c>
      <c r="CC66" s="135">
        <f t="shared" si="48"/>
        <v>12256</v>
      </c>
      <c r="CD66" s="135">
        <f t="shared" si="49"/>
        <v>19361</v>
      </c>
      <c r="CE66" s="135">
        <f t="shared" si="50"/>
        <v>10590</v>
      </c>
      <c r="CF66" s="135">
        <f t="shared" si="51"/>
        <v>9548</v>
      </c>
      <c r="CG66" s="135">
        <f t="shared" si="52"/>
        <v>8526</v>
      </c>
      <c r="CH66" s="135">
        <f t="shared" si="53"/>
        <v>4870</v>
      </c>
      <c r="CI66" s="135">
        <f t="shared" si="54"/>
        <v>5420</v>
      </c>
      <c r="CJ66" s="135">
        <f t="shared" si="55"/>
        <v>2887</v>
      </c>
      <c r="CK66" s="135">
        <f t="shared" si="56"/>
        <v>2815</v>
      </c>
      <c r="CL66" s="135">
        <f t="shared" si="57"/>
        <v>2816</v>
      </c>
      <c r="CM66" s="135">
        <f t="shared" si="58"/>
        <v>2817</v>
      </c>
      <c r="CN66" s="135">
        <f t="shared" si="59"/>
        <v>3407</v>
      </c>
      <c r="CO66" s="135">
        <f t="shared" si="60"/>
        <v>4001</v>
      </c>
      <c r="CP66" s="32"/>
    </row>
    <row r="67" spans="1:94">
      <c r="A67" s="44" t="s">
        <v>229</v>
      </c>
      <c r="B67" s="45" t="s">
        <v>32</v>
      </c>
      <c r="C67" s="47">
        <f>BACKUP!C416</f>
        <v>17841</v>
      </c>
      <c r="D67" s="47">
        <f>BACKUP!D416</f>
        <v>15857</v>
      </c>
      <c r="E67" s="47">
        <f>BACKUP!E416</f>
        <v>19620</v>
      </c>
      <c r="F67" s="47">
        <f>BACKUP!F416</f>
        <v>20108</v>
      </c>
      <c r="G67" s="47">
        <f>BACKUP!G416</f>
        <v>20094</v>
      </c>
      <c r="H67" s="47">
        <f>BACKUP!H416</f>
        <v>20415</v>
      </c>
      <c r="I67" s="47">
        <f>BACKUP!I416</f>
        <v>20229</v>
      </c>
      <c r="J67" s="47">
        <f>BACKUP!J416</f>
        <v>20016</v>
      </c>
      <c r="K67" s="47">
        <f>BACKUP!K416</f>
        <v>19881</v>
      </c>
      <c r="L67" s="47">
        <f>BACKUP!L416</f>
        <v>19681</v>
      </c>
      <c r="M67" s="47">
        <f>BACKUP!M416</f>
        <v>20256</v>
      </c>
      <c r="N67" s="47">
        <f>BACKUP!N416</f>
        <v>20119</v>
      </c>
      <c r="O67" s="47">
        <f>BACKUP!O416</f>
        <v>9960</v>
      </c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44" t="str">
        <f t="shared" si="42"/>
        <v>H</v>
      </c>
      <c r="AB67" s="45" t="str">
        <f t="shared" si="42"/>
        <v xml:space="preserve">   Other</v>
      </c>
      <c r="AC67" s="197">
        <v>0</v>
      </c>
      <c r="AD67" s="197">
        <v>0</v>
      </c>
      <c r="AE67" s="197">
        <v>0</v>
      </c>
      <c r="AF67" s="197">
        <v>0</v>
      </c>
      <c r="AG67" s="197">
        <v>0</v>
      </c>
      <c r="AH67" s="197">
        <v>0</v>
      </c>
      <c r="AI67" s="197">
        <v>0</v>
      </c>
      <c r="AJ67" s="197">
        <v>0</v>
      </c>
      <c r="AK67" s="197">
        <v>0</v>
      </c>
      <c r="AL67" s="197">
        <v>0</v>
      </c>
      <c r="AM67" s="197">
        <v>0</v>
      </c>
      <c r="AN67" s="197">
        <v>0</v>
      </c>
      <c r="AO67" s="197">
        <v>0</v>
      </c>
      <c r="AP67" s="32"/>
      <c r="AQ67" s="43"/>
      <c r="AR67" s="32"/>
      <c r="BA67" s="44" t="str">
        <f t="shared" si="43"/>
        <v>H</v>
      </c>
      <c r="BB67" s="45" t="str">
        <f t="shared" si="44"/>
        <v xml:space="preserve">   Other</v>
      </c>
      <c r="BC67" s="197">
        <v>0</v>
      </c>
      <c r="BD67" s="197">
        <v>0</v>
      </c>
      <c r="BE67" s="197">
        <v>0</v>
      </c>
      <c r="BF67" s="197">
        <v>0</v>
      </c>
      <c r="BG67" s="197">
        <v>0</v>
      </c>
      <c r="BH67" s="197">
        <v>0</v>
      </c>
      <c r="BI67" s="197">
        <v>0</v>
      </c>
      <c r="BJ67" s="197">
        <v>0</v>
      </c>
      <c r="BK67" s="197">
        <v>0</v>
      </c>
      <c r="BL67" s="197">
        <v>0</v>
      </c>
      <c r="BM67" s="197">
        <v>0</v>
      </c>
      <c r="BN67" s="197">
        <v>0</v>
      </c>
      <c r="BO67" s="197">
        <v>0</v>
      </c>
      <c r="CA67" s="44" t="str">
        <f t="shared" si="46"/>
        <v>H</v>
      </c>
      <c r="CB67" s="45" t="str">
        <f t="shared" si="47"/>
        <v xml:space="preserve">   Other</v>
      </c>
      <c r="CC67" s="48">
        <f t="shared" si="48"/>
        <v>17841</v>
      </c>
      <c r="CD67" s="48">
        <f t="shared" si="49"/>
        <v>15857</v>
      </c>
      <c r="CE67" s="48">
        <f t="shared" si="50"/>
        <v>19620</v>
      </c>
      <c r="CF67" s="48">
        <f t="shared" si="51"/>
        <v>20108</v>
      </c>
      <c r="CG67" s="48">
        <f t="shared" si="52"/>
        <v>20094</v>
      </c>
      <c r="CH67" s="48">
        <f t="shared" si="53"/>
        <v>20415</v>
      </c>
      <c r="CI67" s="48">
        <f t="shared" si="54"/>
        <v>20229</v>
      </c>
      <c r="CJ67" s="48">
        <f t="shared" si="55"/>
        <v>20016</v>
      </c>
      <c r="CK67" s="48">
        <f t="shared" si="56"/>
        <v>19881</v>
      </c>
      <c r="CL67" s="48">
        <f t="shared" si="57"/>
        <v>19681</v>
      </c>
      <c r="CM67" s="48">
        <f t="shared" si="58"/>
        <v>20256</v>
      </c>
      <c r="CN67" s="48">
        <f t="shared" si="59"/>
        <v>20119</v>
      </c>
      <c r="CO67" s="48">
        <f t="shared" si="60"/>
        <v>9960</v>
      </c>
      <c r="CP67" s="32"/>
    </row>
    <row r="68" spans="1:94" ht="3.9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BA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</row>
    <row r="69" spans="1:94">
      <c r="A69" s="29"/>
      <c r="B69" s="30" t="s">
        <v>230</v>
      </c>
      <c r="C69" s="47">
        <f t="shared" ref="C69:O69" si="65">SUM(C59:C68)</f>
        <v>165032</v>
      </c>
      <c r="D69" s="47">
        <f t="shared" si="65"/>
        <v>225084</v>
      </c>
      <c r="E69" s="47">
        <f t="shared" si="65"/>
        <v>173223</v>
      </c>
      <c r="F69" s="47">
        <f t="shared" si="65"/>
        <v>165927</v>
      </c>
      <c r="G69" s="47">
        <f t="shared" si="65"/>
        <v>158290</v>
      </c>
      <c r="H69" s="47">
        <f t="shared" si="65"/>
        <v>141498</v>
      </c>
      <c r="I69" s="47">
        <f t="shared" si="65"/>
        <v>136696</v>
      </c>
      <c r="J69" s="47">
        <f t="shared" si="65"/>
        <v>119956</v>
      </c>
      <c r="K69" s="47">
        <f t="shared" si="65"/>
        <v>128164</v>
      </c>
      <c r="L69" s="47">
        <f t="shared" si="65"/>
        <v>127170</v>
      </c>
      <c r="M69" s="47">
        <f t="shared" si="65"/>
        <v>126860</v>
      </c>
      <c r="N69" s="47">
        <f t="shared" si="65"/>
        <v>122693</v>
      </c>
      <c r="O69" s="47">
        <f t="shared" si="65"/>
        <v>103293</v>
      </c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29"/>
      <c r="AB69" s="30" t="str">
        <f>B69</f>
        <v xml:space="preserve">      Total Current Liabilities</v>
      </c>
      <c r="AC69" s="47">
        <f t="shared" ref="AC69:AO69" si="66">SUM(AC59:AC68)</f>
        <v>672</v>
      </c>
      <c r="AD69" s="47">
        <f t="shared" si="66"/>
        <v>672</v>
      </c>
      <c r="AE69" s="47">
        <f t="shared" si="66"/>
        <v>672</v>
      </c>
      <c r="AF69" s="47">
        <f t="shared" si="66"/>
        <v>672</v>
      </c>
      <c r="AG69" s="47">
        <f t="shared" si="66"/>
        <v>672</v>
      </c>
      <c r="AH69" s="47">
        <f t="shared" si="66"/>
        <v>672</v>
      </c>
      <c r="AI69" s="47">
        <f t="shared" si="66"/>
        <v>672</v>
      </c>
      <c r="AJ69" s="47">
        <f t="shared" si="66"/>
        <v>672</v>
      </c>
      <c r="AK69" s="47">
        <f t="shared" si="66"/>
        <v>672</v>
      </c>
      <c r="AL69" s="47">
        <f t="shared" si="66"/>
        <v>672</v>
      </c>
      <c r="AM69" s="47">
        <f t="shared" si="66"/>
        <v>672</v>
      </c>
      <c r="AN69" s="47">
        <f t="shared" si="66"/>
        <v>672</v>
      </c>
      <c r="AO69" s="47">
        <f t="shared" si="66"/>
        <v>672</v>
      </c>
      <c r="AP69" s="32"/>
      <c r="AQ69" s="43"/>
      <c r="AR69" s="32"/>
      <c r="BA69" s="29"/>
      <c r="BB69" s="30" t="str">
        <f>B69</f>
        <v xml:space="preserve">      Total Current Liabilities</v>
      </c>
      <c r="BC69" s="47">
        <f t="shared" ref="BC69:BO69" si="67">SUM(BC59:BC68)</f>
        <v>280</v>
      </c>
      <c r="BD69" s="47">
        <f t="shared" si="67"/>
        <v>280</v>
      </c>
      <c r="BE69" s="47">
        <f t="shared" si="67"/>
        <v>280</v>
      </c>
      <c r="BF69" s="47">
        <f t="shared" si="67"/>
        <v>280</v>
      </c>
      <c r="BG69" s="47">
        <f t="shared" si="67"/>
        <v>280</v>
      </c>
      <c r="BH69" s="47">
        <f t="shared" si="67"/>
        <v>280</v>
      </c>
      <c r="BI69" s="47">
        <f t="shared" si="67"/>
        <v>280</v>
      </c>
      <c r="BJ69" s="47">
        <f t="shared" si="67"/>
        <v>280</v>
      </c>
      <c r="BK69" s="47">
        <f t="shared" si="67"/>
        <v>280</v>
      </c>
      <c r="BL69" s="47">
        <f t="shared" si="67"/>
        <v>280</v>
      </c>
      <c r="BM69" s="47">
        <f t="shared" si="67"/>
        <v>280</v>
      </c>
      <c r="BN69" s="47">
        <f t="shared" si="67"/>
        <v>280</v>
      </c>
      <c r="BO69" s="47">
        <f t="shared" si="67"/>
        <v>280</v>
      </c>
      <c r="CA69" s="29"/>
      <c r="CB69" s="30" t="str">
        <f>B69</f>
        <v xml:space="preserve">      Total Current Liabilities</v>
      </c>
      <c r="CC69" s="47">
        <f t="shared" ref="CC69:CO69" si="68">SUM(CC59:CC68)</f>
        <v>164080</v>
      </c>
      <c r="CD69" s="47">
        <f t="shared" si="68"/>
        <v>224132</v>
      </c>
      <c r="CE69" s="47">
        <f t="shared" si="68"/>
        <v>172271</v>
      </c>
      <c r="CF69" s="47">
        <f t="shared" si="68"/>
        <v>164975</v>
      </c>
      <c r="CG69" s="47">
        <f t="shared" si="68"/>
        <v>157338</v>
      </c>
      <c r="CH69" s="47">
        <f t="shared" si="68"/>
        <v>140546</v>
      </c>
      <c r="CI69" s="47">
        <f t="shared" si="68"/>
        <v>135744</v>
      </c>
      <c r="CJ69" s="47">
        <f t="shared" si="68"/>
        <v>119004</v>
      </c>
      <c r="CK69" s="47">
        <f t="shared" si="68"/>
        <v>127212</v>
      </c>
      <c r="CL69" s="47">
        <f t="shared" si="68"/>
        <v>126218</v>
      </c>
      <c r="CM69" s="47">
        <f t="shared" si="68"/>
        <v>125908</v>
      </c>
      <c r="CN69" s="47">
        <f t="shared" si="68"/>
        <v>121741</v>
      </c>
      <c r="CO69" s="47">
        <f t="shared" si="68"/>
        <v>102341</v>
      </c>
      <c r="CP69" s="32"/>
    </row>
    <row r="70" spans="1:94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BA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</row>
    <row r="71" spans="1:94">
      <c r="A71" s="29"/>
      <c r="B71" s="30" t="s">
        <v>231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29"/>
      <c r="AB71" s="30" t="str">
        <f>B71</f>
        <v>DEFERRED CREDITS AND OTHER LIABILITIES</v>
      </c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43"/>
      <c r="AR71" s="32"/>
      <c r="BA71" s="29"/>
      <c r="BB71" s="30" t="str">
        <f>B71</f>
        <v>DEFERRED CREDITS AND OTHER LIABILITIES</v>
      </c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CA71" s="29"/>
      <c r="CB71" s="30" t="str">
        <f>B71</f>
        <v>DEFERRED CREDITS AND OTHER LIABILITIES</v>
      </c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</row>
    <row r="72" spans="1:94">
      <c r="A72" s="44" t="s">
        <v>232</v>
      </c>
      <c r="B72" s="45" t="s">
        <v>233</v>
      </c>
      <c r="C72" s="43">
        <f>BACKUP!C386</f>
        <v>289220</v>
      </c>
      <c r="D72" s="43">
        <f>BACKUP!D386</f>
        <v>292382</v>
      </c>
      <c r="E72" s="43">
        <f>BACKUP!E386</f>
        <v>292531</v>
      </c>
      <c r="F72" s="43">
        <f>BACKUP!F386</f>
        <v>291319</v>
      </c>
      <c r="G72" s="43">
        <f>BACKUP!G386</f>
        <v>314660</v>
      </c>
      <c r="H72" s="43">
        <f>BACKUP!H386</f>
        <v>316234</v>
      </c>
      <c r="I72" s="43">
        <f>BACKUP!I386</f>
        <v>313249</v>
      </c>
      <c r="J72" s="43">
        <f>BACKUP!J386</f>
        <v>314108</v>
      </c>
      <c r="K72" s="43">
        <f>BACKUP!K386</f>
        <v>317447</v>
      </c>
      <c r="L72" s="43">
        <f>BACKUP!L386</f>
        <v>319654</v>
      </c>
      <c r="M72" s="43">
        <f>BACKUP!M386</f>
        <v>307840</v>
      </c>
      <c r="N72" s="43">
        <f>BACKUP!N386</f>
        <v>306519</v>
      </c>
      <c r="O72" s="43">
        <f>BACKUP!O386</f>
        <v>307178</v>
      </c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44" t="str">
        <f t="shared" ref="AA72:AB75" si="69">A72</f>
        <v>D</v>
      </c>
      <c r="AB72" s="45" t="str">
        <f t="shared" si="69"/>
        <v xml:space="preserve">   Deferred Income Taxes</v>
      </c>
      <c r="AC72" s="46">
        <v>6287</v>
      </c>
      <c r="AD72" s="198">
        <f>AC72+[1]IncomeState!C153</f>
        <v>6203</v>
      </c>
      <c r="AE72" s="232">
        <f>AD72+[1]IncomeState!D153-1</f>
        <v>6118</v>
      </c>
      <c r="AF72" s="232">
        <f>AE72+[1]IncomeState!E153-63</f>
        <v>5970</v>
      </c>
      <c r="AG72" s="198">
        <f>AF72+[1]IncomeState!F153</f>
        <v>5885</v>
      </c>
      <c r="AH72" s="198">
        <f>AG72+[1]IncomeState!G153</f>
        <v>5801</v>
      </c>
      <c r="AI72" s="198">
        <f>AH72+[1]IncomeState!H153</f>
        <v>5716</v>
      </c>
      <c r="AJ72" s="198">
        <f>AI72+[1]IncomeState!I153</f>
        <v>5632</v>
      </c>
      <c r="AK72" s="198">
        <f>AJ72+[1]IncomeState!J153</f>
        <v>5547</v>
      </c>
      <c r="AL72" s="198">
        <f>AK72+[1]IncomeState!K153</f>
        <v>5463</v>
      </c>
      <c r="AM72" s="198">
        <f>AL72+[1]IncomeState!L153</f>
        <v>5335</v>
      </c>
      <c r="AN72" s="198">
        <f>AM72+[1]IncomeState!M153</f>
        <v>5200</v>
      </c>
      <c r="AO72" s="198">
        <f>AN72+[1]IncomeState!N153</f>
        <v>5194</v>
      </c>
      <c r="AP72" s="32"/>
      <c r="AQ72" s="43"/>
      <c r="AR72" s="32"/>
      <c r="BA72" s="44" t="str">
        <f>AA72</f>
        <v>D</v>
      </c>
      <c r="BB72" s="45" t="str">
        <f>B72</f>
        <v xml:space="preserve">   Deferred Income Taxes</v>
      </c>
      <c r="BC72" s="46">
        <v>3380</v>
      </c>
      <c r="BD72" s="232">
        <f>BC72+[1]DeferredTax!R$71-1</f>
        <v>3370</v>
      </c>
      <c r="BE72" s="198">
        <f>BD72+[1]DeferredTax!S$71</f>
        <v>3361</v>
      </c>
      <c r="BF72" s="198">
        <f>BE72+[1]DeferredTax!T$71</f>
        <v>3352</v>
      </c>
      <c r="BG72" s="198">
        <f>BF72+[1]DeferredTax!U$71</f>
        <v>3343</v>
      </c>
      <c r="BH72" s="198">
        <f>BG72+[1]DeferredTax!V$71</f>
        <v>3334</v>
      </c>
      <c r="BI72" s="198">
        <f>BH72+[1]DeferredTax!W$71</f>
        <v>3324</v>
      </c>
      <c r="BJ72" s="198">
        <f>BI72+[1]DeferredTax!X$71</f>
        <v>3315</v>
      </c>
      <c r="BK72" s="198">
        <f>BJ72+[1]DeferredTax!Y$71</f>
        <v>3306</v>
      </c>
      <c r="BL72" s="198">
        <f>BK72+[1]DeferredTax!Z$71</f>
        <v>3297</v>
      </c>
      <c r="BM72" s="198">
        <f>BL72+[1]DeferredTax!AA$71</f>
        <v>3288</v>
      </c>
      <c r="BN72" s="198">
        <f>BM72+[1]DeferredTax!AB$71</f>
        <v>3279</v>
      </c>
      <c r="BO72" s="198">
        <f>BN72+[1]DeferredTax!AC$71</f>
        <v>3270</v>
      </c>
      <c r="CA72" s="44" t="str">
        <f>A72</f>
        <v>D</v>
      </c>
      <c r="CB72" s="45" t="str">
        <f>B72</f>
        <v xml:space="preserve">   Deferred Income Taxes</v>
      </c>
      <c r="CC72" s="135">
        <f t="shared" ref="CC72:CO75" si="70">C72-AC72-BC72</f>
        <v>279553</v>
      </c>
      <c r="CD72" s="135">
        <f t="shared" si="70"/>
        <v>282809</v>
      </c>
      <c r="CE72" s="135">
        <f t="shared" si="70"/>
        <v>283052</v>
      </c>
      <c r="CF72" s="135">
        <f t="shared" si="70"/>
        <v>281997</v>
      </c>
      <c r="CG72" s="135">
        <f t="shared" si="70"/>
        <v>305432</v>
      </c>
      <c r="CH72" s="135">
        <f t="shared" si="70"/>
        <v>307099</v>
      </c>
      <c r="CI72" s="135">
        <f t="shared" si="70"/>
        <v>304209</v>
      </c>
      <c r="CJ72" s="135">
        <f t="shared" si="70"/>
        <v>305161</v>
      </c>
      <c r="CK72" s="135">
        <f t="shared" si="70"/>
        <v>308594</v>
      </c>
      <c r="CL72" s="135">
        <f t="shared" si="70"/>
        <v>310894</v>
      </c>
      <c r="CM72" s="135">
        <f t="shared" si="70"/>
        <v>299217</v>
      </c>
      <c r="CN72" s="135">
        <f t="shared" si="70"/>
        <v>298040</v>
      </c>
      <c r="CO72" s="135">
        <f t="shared" si="70"/>
        <v>298714</v>
      </c>
      <c r="CP72" s="32"/>
    </row>
    <row r="73" spans="1:94">
      <c r="A73" s="44" t="s">
        <v>234</v>
      </c>
      <c r="B73" s="45" t="s">
        <v>235</v>
      </c>
      <c r="C73" s="43">
        <f>BACKUP!C436</f>
        <v>0</v>
      </c>
      <c r="D73" s="43">
        <f>BACKUP!D436</f>
        <v>0</v>
      </c>
      <c r="E73" s="43">
        <f>BACKUP!E436</f>
        <v>0</v>
      </c>
      <c r="F73" s="43">
        <f>BACKUP!F436</f>
        <v>0</v>
      </c>
      <c r="G73" s="43">
        <f>BACKUP!G436</f>
        <v>0</v>
      </c>
      <c r="H73" s="43">
        <f>BACKUP!H436</f>
        <v>0</v>
      </c>
      <c r="I73" s="43">
        <f>BACKUP!I436</f>
        <v>0</v>
      </c>
      <c r="J73" s="43">
        <f>BACKUP!J436</f>
        <v>0</v>
      </c>
      <c r="K73" s="43">
        <f>BACKUP!K436</f>
        <v>0</v>
      </c>
      <c r="L73" s="43">
        <f>BACKUP!L436</f>
        <v>0</v>
      </c>
      <c r="M73" s="43">
        <f>BACKUP!M436</f>
        <v>0</v>
      </c>
      <c r="N73" s="43">
        <f>BACKUP!N436</f>
        <v>0</v>
      </c>
      <c r="O73" s="43">
        <f>BACKUP!O436</f>
        <v>0</v>
      </c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44" t="str">
        <f t="shared" si="69"/>
        <v>G</v>
      </c>
      <c r="AB73" s="45" t="str">
        <f t="shared" si="69"/>
        <v xml:space="preserve">   Other Regulatory Liabilities</v>
      </c>
      <c r="AC73" s="46">
        <v>0</v>
      </c>
      <c r="AD73" s="46">
        <v>0</v>
      </c>
      <c r="AE73" s="46">
        <v>0</v>
      </c>
      <c r="AF73" s="46">
        <v>0</v>
      </c>
      <c r="AG73" s="46">
        <v>0</v>
      </c>
      <c r="AH73" s="46">
        <v>0</v>
      </c>
      <c r="AI73" s="46">
        <v>0</v>
      </c>
      <c r="AJ73" s="46">
        <v>0</v>
      </c>
      <c r="AK73" s="46">
        <v>0</v>
      </c>
      <c r="AL73" s="46">
        <v>0</v>
      </c>
      <c r="AM73" s="46">
        <v>0</v>
      </c>
      <c r="AN73" s="46">
        <v>0</v>
      </c>
      <c r="AO73" s="46">
        <v>0</v>
      </c>
      <c r="AP73" s="32"/>
      <c r="AQ73" s="43"/>
      <c r="AR73" s="32"/>
      <c r="BA73" s="44" t="str">
        <f>AA73</f>
        <v>G</v>
      </c>
      <c r="BB73" s="45" t="str">
        <f>B73</f>
        <v xml:space="preserve">   Other Regulatory Liabilities</v>
      </c>
      <c r="BC73" s="46">
        <v>0</v>
      </c>
      <c r="BD73" s="46">
        <v>0</v>
      </c>
      <c r="BE73" s="46">
        <v>0</v>
      </c>
      <c r="BF73" s="46">
        <v>0</v>
      </c>
      <c r="BG73" s="46">
        <v>0</v>
      </c>
      <c r="BH73" s="46">
        <v>0</v>
      </c>
      <c r="BI73" s="46">
        <v>0</v>
      </c>
      <c r="BJ73" s="46">
        <v>0</v>
      </c>
      <c r="BK73" s="46">
        <v>0</v>
      </c>
      <c r="BL73" s="46">
        <v>0</v>
      </c>
      <c r="BM73" s="46">
        <v>0</v>
      </c>
      <c r="BN73" s="46">
        <v>0</v>
      </c>
      <c r="BO73" s="46">
        <v>0</v>
      </c>
      <c r="CA73" s="44" t="str">
        <f>A73</f>
        <v>G</v>
      </c>
      <c r="CB73" s="45" t="str">
        <f>B73</f>
        <v xml:space="preserve">   Other Regulatory Liabilities</v>
      </c>
      <c r="CC73" s="135">
        <f t="shared" si="70"/>
        <v>0</v>
      </c>
      <c r="CD73" s="135">
        <f t="shared" si="70"/>
        <v>0</v>
      </c>
      <c r="CE73" s="135">
        <f t="shared" si="70"/>
        <v>0</v>
      </c>
      <c r="CF73" s="135">
        <f t="shared" si="70"/>
        <v>0</v>
      </c>
      <c r="CG73" s="135">
        <f t="shared" si="70"/>
        <v>0</v>
      </c>
      <c r="CH73" s="135">
        <f t="shared" si="70"/>
        <v>0</v>
      </c>
      <c r="CI73" s="135">
        <f t="shared" si="70"/>
        <v>0</v>
      </c>
      <c r="CJ73" s="135">
        <f t="shared" si="70"/>
        <v>0</v>
      </c>
      <c r="CK73" s="135">
        <f t="shared" si="70"/>
        <v>0</v>
      </c>
      <c r="CL73" s="135">
        <f t="shared" si="70"/>
        <v>0</v>
      </c>
      <c r="CM73" s="135">
        <f t="shared" si="70"/>
        <v>0</v>
      </c>
      <c r="CN73" s="135">
        <f t="shared" si="70"/>
        <v>0</v>
      </c>
      <c r="CO73" s="135">
        <f t="shared" si="70"/>
        <v>0</v>
      </c>
      <c r="CP73" s="32"/>
    </row>
    <row r="74" spans="1:94">
      <c r="A74" s="44" t="s">
        <v>228</v>
      </c>
      <c r="B74" s="55" t="s">
        <v>572</v>
      </c>
      <c r="C74" s="43">
        <f>BACKUP!C458</f>
        <v>12759</v>
      </c>
      <c r="D74" s="43">
        <f>BACKUP!D458</f>
        <v>17580</v>
      </c>
      <c r="E74" s="43">
        <f>BACKUP!E458</f>
        <v>24079</v>
      </c>
      <c r="F74" s="43">
        <f>BACKUP!F458</f>
        <v>21841</v>
      </c>
      <c r="G74" s="43">
        <f>BACKUP!G458</f>
        <v>23550</v>
      </c>
      <c r="H74" s="43">
        <f>BACKUP!H458</f>
        <v>11813</v>
      </c>
      <c r="I74" s="43">
        <f>BACKUP!I458</f>
        <v>1245</v>
      </c>
      <c r="J74" s="43">
        <f>BACKUP!J458</f>
        <v>2910</v>
      </c>
      <c r="K74" s="43">
        <f>BACKUP!K458</f>
        <v>2910</v>
      </c>
      <c r="L74" s="43">
        <f>BACKUP!L458</f>
        <v>2910</v>
      </c>
      <c r="M74" s="43">
        <f>BACKUP!M458</f>
        <v>2910</v>
      </c>
      <c r="N74" s="43">
        <f>BACKUP!N458</f>
        <v>2910</v>
      </c>
      <c r="O74" s="43">
        <f>BACKUP!O458</f>
        <v>2910</v>
      </c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44" t="str">
        <f t="shared" si="69"/>
        <v>F</v>
      </c>
      <c r="AB74" s="45" t="str">
        <f t="shared" si="69"/>
        <v xml:space="preserve">   Liability Price Risk Management</v>
      </c>
      <c r="AC74" s="46">
        <v>0</v>
      </c>
      <c r="AD74" s="46">
        <v>0</v>
      </c>
      <c r="AE74" s="46">
        <v>0</v>
      </c>
      <c r="AF74" s="46">
        <v>0</v>
      </c>
      <c r="AG74" s="46">
        <v>0</v>
      </c>
      <c r="AH74" s="46">
        <v>0</v>
      </c>
      <c r="AI74" s="46">
        <v>0</v>
      </c>
      <c r="AJ74" s="46">
        <v>0</v>
      </c>
      <c r="AK74" s="46">
        <v>0</v>
      </c>
      <c r="AL74" s="46">
        <v>0</v>
      </c>
      <c r="AM74" s="46">
        <v>0</v>
      </c>
      <c r="AN74" s="46">
        <v>0</v>
      </c>
      <c r="AO74" s="46">
        <v>0</v>
      </c>
      <c r="AP74" s="32"/>
      <c r="AQ74" s="43"/>
      <c r="AR74" s="32"/>
      <c r="BA74" s="44" t="str">
        <f>AA74</f>
        <v>F</v>
      </c>
      <c r="BB74" s="45" t="str">
        <f>B74</f>
        <v xml:space="preserve">   Liability Price Risk Management</v>
      </c>
      <c r="BC74" s="46">
        <v>0</v>
      </c>
      <c r="BD74" s="46">
        <v>0</v>
      </c>
      <c r="BE74" s="46">
        <v>0</v>
      </c>
      <c r="BF74" s="46">
        <v>0</v>
      </c>
      <c r="BG74" s="46">
        <v>0</v>
      </c>
      <c r="BH74" s="46">
        <v>0</v>
      </c>
      <c r="BI74" s="46">
        <v>0</v>
      </c>
      <c r="BJ74" s="46">
        <v>0</v>
      </c>
      <c r="BK74" s="46">
        <v>0</v>
      </c>
      <c r="BL74" s="46">
        <v>0</v>
      </c>
      <c r="BM74" s="46">
        <v>0</v>
      </c>
      <c r="BN74" s="46">
        <v>0</v>
      </c>
      <c r="BO74" s="46">
        <v>0</v>
      </c>
      <c r="CA74" s="44" t="str">
        <f>A74</f>
        <v>F</v>
      </c>
      <c r="CB74" s="45" t="str">
        <f>B74</f>
        <v xml:space="preserve">   Liability Price Risk Management</v>
      </c>
      <c r="CC74" s="135">
        <f t="shared" si="70"/>
        <v>12759</v>
      </c>
      <c r="CD74" s="135">
        <f t="shared" si="70"/>
        <v>17580</v>
      </c>
      <c r="CE74" s="135">
        <f t="shared" si="70"/>
        <v>24079</v>
      </c>
      <c r="CF74" s="135">
        <f t="shared" si="70"/>
        <v>21841</v>
      </c>
      <c r="CG74" s="135">
        <f t="shared" si="70"/>
        <v>23550</v>
      </c>
      <c r="CH74" s="135">
        <f t="shared" si="70"/>
        <v>11813</v>
      </c>
      <c r="CI74" s="135">
        <f t="shared" si="70"/>
        <v>1245</v>
      </c>
      <c r="CJ74" s="135">
        <f t="shared" si="70"/>
        <v>2910</v>
      </c>
      <c r="CK74" s="135">
        <f t="shared" si="70"/>
        <v>2910</v>
      </c>
      <c r="CL74" s="135">
        <f t="shared" si="70"/>
        <v>2910</v>
      </c>
      <c r="CM74" s="135">
        <f t="shared" si="70"/>
        <v>2910</v>
      </c>
      <c r="CN74" s="135">
        <f t="shared" si="70"/>
        <v>2910</v>
      </c>
      <c r="CO74" s="135">
        <f t="shared" si="70"/>
        <v>2910</v>
      </c>
      <c r="CP74" s="32"/>
    </row>
    <row r="75" spans="1:94">
      <c r="A75" s="44" t="s">
        <v>229</v>
      </c>
      <c r="B75" s="45" t="s">
        <v>32</v>
      </c>
      <c r="C75" s="47">
        <f>BACKUP!C448</f>
        <v>1829</v>
      </c>
      <c r="D75" s="47">
        <f>BACKUP!D448</f>
        <v>1828</v>
      </c>
      <c r="E75" s="47">
        <f>BACKUP!E448</f>
        <v>1828</v>
      </c>
      <c r="F75" s="47">
        <f>BACKUP!F448</f>
        <v>1830</v>
      </c>
      <c r="G75" s="47">
        <f>BACKUP!G448</f>
        <v>1825</v>
      </c>
      <c r="H75" s="47">
        <f>BACKUP!H448</f>
        <v>1827</v>
      </c>
      <c r="I75" s="47">
        <f>BACKUP!I448</f>
        <v>1830</v>
      </c>
      <c r="J75" s="47">
        <f>BACKUP!J448</f>
        <v>1830</v>
      </c>
      <c r="K75" s="47">
        <f>BACKUP!K448</f>
        <v>1830</v>
      </c>
      <c r="L75" s="47">
        <f>BACKUP!L448</f>
        <v>1830</v>
      </c>
      <c r="M75" s="47">
        <f>BACKUP!M448</f>
        <v>1918</v>
      </c>
      <c r="N75" s="47">
        <f>BACKUP!N448</f>
        <v>1918</v>
      </c>
      <c r="O75" s="47">
        <f>BACKUP!O448</f>
        <v>932</v>
      </c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44" t="str">
        <f t="shared" si="69"/>
        <v>H</v>
      </c>
      <c r="AB75" s="45" t="str">
        <f t="shared" si="69"/>
        <v xml:space="preserve">   Other</v>
      </c>
      <c r="AC75" s="197">
        <v>0</v>
      </c>
      <c r="AD75" s="197">
        <v>0</v>
      </c>
      <c r="AE75" s="197">
        <v>0</v>
      </c>
      <c r="AF75" s="197">
        <v>0</v>
      </c>
      <c r="AG75" s="197">
        <v>0</v>
      </c>
      <c r="AH75" s="197">
        <v>0</v>
      </c>
      <c r="AI75" s="197">
        <v>0</v>
      </c>
      <c r="AJ75" s="197">
        <v>0</v>
      </c>
      <c r="AK75" s="197">
        <v>0</v>
      </c>
      <c r="AL75" s="197">
        <v>0</v>
      </c>
      <c r="AM75" s="197">
        <v>0</v>
      </c>
      <c r="AN75" s="197">
        <v>0</v>
      </c>
      <c r="AO75" s="197">
        <v>0</v>
      </c>
      <c r="AP75" s="32"/>
      <c r="AQ75" s="43"/>
      <c r="AR75" s="32"/>
      <c r="BA75" s="44" t="str">
        <f>AA75</f>
        <v>H</v>
      </c>
      <c r="BB75" s="45" t="str">
        <f>B75</f>
        <v xml:space="preserve">   Other</v>
      </c>
      <c r="BC75" s="197">
        <v>0</v>
      </c>
      <c r="BD75" s="197">
        <v>0</v>
      </c>
      <c r="BE75" s="197">
        <v>0</v>
      </c>
      <c r="BF75" s="197">
        <v>0</v>
      </c>
      <c r="BG75" s="197">
        <v>0</v>
      </c>
      <c r="BH75" s="197">
        <v>0</v>
      </c>
      <c r="BI75" s="197">
        <v>0</v>
      </c>
      <c r="BJ75" s="197">
        <v>0</v>
      </c>
      <c r="BK75" s="197">
        <v>0</v>
      </c>
      <c r="BL75" s="197">
        <v>0</v>
      </c>
      <c r="BM75" s="197">
        <v>0</v>
      </c>
      <c r="BN75" s="197">
        <v>0</v>
      </c>
      <c r="BO75" s="197">
        <v>0</v>
      </c>
      <c r="CA75" s="44" t="str">
        <f>A75</f>
        <v>H</v>
      </c>
      <c r="CB75" s="45" t="str">
        <f>B75</f>
        <v xml:space="preserve">   Other</v>
      </c>
      <c r="CC75" s="48">
        <f t="shared" si="70"/>
        <v>1829</v>
      </c>
      <c r="CD75" s="48">
        <f t="shared" si="70"/>
        <v>1828</v>
      </c>
      <c r="CE75" s="48">
        <f t="shared" si="70"/>
        <v>1828</v>
      </c>
      <c r="CF75" s="48">
        <f t="shared" si="70"/>
        <v>1830</v>
      </c>
      <c r="CG75" s="48">
        <f t="shared" si="70"/>
        <v>1825</v>
      </c>
      <c r="CH75" s="48">
        <f t="shared" si="70"/>
        <v>1827</v>
      </c>
      <c r="CI75" s="48">
        <f t="shared" si="70"/>
        <v>1830</v>
      </c>
      <c r="CJ75" s="48">
        <f t="shared" si="70"/>
        <v>1830</v>
      </c>
      <c r="CK75" s="48">
        <f t="shared" si="70"/>
        <v>1830</v>
      </c>
      <c r="CL75" s="48">
        <f t="shared" si="70"/>
        <v>1830</v>
      </c>
      <c r="CM75" s="48">
        <f t="shared" si="70"/>
        <v>1918</v>
      </c>
      <c r="CN75" s="48">
        <f t="shared" si="70"/>
        <v>1918</v>
      </c>
      <c r="CO75" s="48">
        <f t="shared" si="70"/>
        <v>932</v>
      </c>
      <c r="CP75" s="32"/>
    </row>
    <row r="76" spans="1:94" ht="3.9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BA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</row>
    <row r="77" spans="1:94">
      <c r="A77" s="29"/>
      <c r="B77" s="30" t="s">
        <v>236</v>
      </c>
      <c r="C77" s="47">
        <f t="shared" ref="C77:O77" si="71">SUM(C72:C76)</f>
        <v>303808</v>
      </c>
      <c r="D77" s="47">
        <f t="shared" si="71"/>
        <v>311790</v>
      </c>
      <c r="E77" s="47">
        <f t="shared" si="71"/>
        <v>318438</v>
      </c>
      <c r="F77" s="47">
        <f t="shared" si="71"/>
        <v>314990</v>
      </c>
      <c r="G77" s="47">
        <f t="shared" si="71"/>
        <v>340035</v>
      </c>
      <c r="H77" s="47">
        <f t="shared" si="71"/>
        <v>329874</v>
      </c>
      <c r="I77" s="47">
        <f t="shared" si="71"/>
        <v>316324</v>
      </c>
      <c r="J77" s="47">
        <f t="shared" si="71"/>
        <v>318848</v>
      </c>
      <c r="K77" s="47">
        <f t="shared" si="71"/>
        <v>322187</v>
      </c>
      <c r="L77" s="47">
        <f t="shared" si="71"/>
        <v>324394</v>
      </c>
      <c r="M77" s="47">
        <f t="shared" si="71"/>
        <v>312668</v>
      </c>
      <c r="N77" s="47">
        <f t="shared" si="71"/>
        <v>311347</v>
      </c>
      <c r="O77" s="47">
        <f t="shared" si="71"/>
        <v>311020</v>
      </c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29"/>
      <c r="AB77" s="30" t="str">
        <f>B77</f>
        <v xml:space="preserve">      Total Deferred Credits &amp; Other Liabilities</v>
      </c>
      <c r="AC77" s="47">
        <f t="shared" ref="AC77:AO77" si="72">SUM(AC72:AC76)</f>
        <v>6287</v>
      </c>
      <c r="AD77" s="47">
        <f t="shared" si="72"/>
        <v>6203</v>
      </c>
      <c r="AE77" s="47">
        <f t="shared" si="72"/>
        <v>6118</v>
      </c>
      <c r="AF77" s="47">
        <f t="shared" si="72"/>
        <v>5970</v>
      </c>
      <c r="AG77" s="47">
        <f t="shared" si="72"/>
        <v>5885</v>
      </c>
      <c r="AH77" s="47">
        <f t="shared" si="72"/>
        <v>5801</v>
      </c>
      <c r="AI77" s="47">
        <f t="shared" si="72"/>
        <v>5716</v>
      </c>
      <c r="AJ77" s="47">
        <f t="shared" si="72"/>
        <v>5632</v>
      </c>
      <c r="AK77" s="47">
        <f t="shared" si="72"/>
        <v>5547</v>
      </c>
      <c r="AL77" s="47">
        <f t="shared" si="72"/>
        <v>5463</v>
      </c>
      <c r="AM77" s="47">
        <f t="shared" si="72"/>
        <v>5335</v>
      </c>
      <c r="AN77" s="47">
        <f t="shared" si="72"/>
        <v>5200</v>
      </c>
      <c r="AO77" s="47">
        <f t="shared" si="72"/>
        <v>5194</v>
      </c>
      <c r="AP77" s="32"/>
      <c r="AQ77" s="43"/>
      <c r="AR77" s="32"/>
      <c r="BA77" s="29"/>
      <c r="BB77" s="30" t="str">
        <f>B77</f>
        <v xml:space="preserve">      Total Deferred Credits &amp; Other Liabilities</v>
      </c>
      <c r="BC77" s="47">
        <f t="shared" ref="BC77:BO77" si="73">SUM(BC72:BC76)</f>
        <v>3380</v>
      </c>
      <c r="BD77" s="47">
        <f t="shared" si="73"/>
        <v>3370</v>
      </c>
      <c r="BE77" s="47">
        <f t="shared" si="73"/>
        <v>3361</v>
      </c>
      <c r="BF77" s="47">
        <f t="shared" si="73"/>
        <v>3352</v>
      </c>
      <c r="BG77" s="47">
        <f t="shared" si="73"/>
        <v>3343</v>
      </c>
      <c r="BH77" s="47">
        <f t="shared" si="73"/>
        <v>3334</v>
      </c>
      <c r="BI77" s="47">
        <f t="shared" si="73"/>
        <v>3324</v>
      </c>
      <c r="BJ77" s="47">
        <f t="shared" si="73"/>
        <v>3315</v>
      </c>
      <c r="BK77" s="47">
        <f t="shared" si="73"/>
        <v>3306</v>
      </c>
      <c r="BL77" s="47">
        <f t="shared" si="73"/>
        <v>3297</v>
      </c>
      <c r="BM77" s="47">
        <f t="shared" si="73"/>
        <v>3288</v>
      </c>
      <c r="BN77" s="47">
        <f t="shared" si="73"/>
        <v>3279</v>
      </c>
      <c r="BO77" s="47">
        <f t="shared" si="73"/>
        <v>3270</v>
      </c>
      <c r="CA77" s="29"/>
      <c r="CB77" s="30" t="str">
        <f>B77</f>
        <v xml:space="preserve">      Total Deferred Credits &amp; Other Liabilities</v>
      </c>
      <c r="CC77" s="47">
        <f t="shared" ref="CC77:CO77" si="74">SUM(CC72:CC76)</f>
        <v>294141</v>
      </c>
      <c r="CD77" s="47">
        <f t="shared" si="74"/>
        <v>302217</v>
      </c>
      <c r="CE77" s="47">
        <f t="shared" si="74"/>
        <v>308959</v>
      </c>
      <c r="CF77" s="47">
        <f t="shared" si="74"/>
        <v>305668</v>
      </c>
      <c r="CG77" s="47">
        <f t="shared" si="74"/>
        <v>330807</v>
      </c>
      <c r="CH77" s="47">
        <f t="shared" si="74"/>
        <v>320739</v>
      </c>
      <c r="CI77" s="47">
        <f t="shared" si="74"/>
        <v>307284</v>
      </c>
      <c r="CJ77" s="47">
        <f t="shared" si="74"/>
        <v>309901</v>
      </c>
      <c r="CK77" s="47">
        <f t="shared" si="74"/>
        <v>313334</v>
      </c>
      <c r="CL77" s="47">
        <f t="shared" si="74"/>
        <v>315634</v>
      </c>
      <c r="CM77" s="47">
        <f t="shared" si="74"/>
        <v>304045</v>
      </c>
      <c r="CN77" s="47">
        <f t="shared" si="74"/>
        <v>302868</v>
      </c>
      <c r="CO77" s="47">
        <f t="shared" si="74"/>
        <v>302556</v>
      </c>
      <c r="CP77" s="32"/>
    </row>
    <row r="78" spans="1:94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BA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</row>
    <row r="79" spans="1:94">
      <c r="A79" s="29"/>
      <c r="B79" s="30" t="s">
        <v>237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29"/>
      <c r="AB79" s="30" t="str">
        <f>B79</f>
        <v xml:space="preserve">DEBT </v>
      </c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32"/>
      <c r="AQ79" s="43"/>
      <c r="AR79" s="32"/>
      <c r="BA79" s="29"/>
      <c r="BB79" s="30" t="str">
        <f>B79</f>
        <v xml:space="preserve">DEBT </v>
      </c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CA79" s="29"/>
      <c r="CB79" s="30" t="str">
        <f>B79</f>
        <v xml:space="preserve">DEBT </v>
      </c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32"/>
    </row>
    <row r="80" spans="1:94">
      <c r="A80" s="44" t="s">
        <v>189</v>
      </c>
      <c r="B80" s="45" t="s">
        <v>238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44" t="str">
        <f t="shared" ref="AA80:AB82" si="75">A80</f>
        <v>I</v>
      </c>
      <c r="AB80" s="45" t="str">
        <f t="shared" si="75"/>
        <v xml:space="preserve">   Payable / (Receivable) from Corporate</v>
      </c>
      <c r="AC80" s="46">
        <v>0</v>
      </c>
      <c r="AD80" s="46">
        <v>0</v>
      </c>
      <c r="AE80" s="46">
        <v>0</v>
      </c>
      <c r="AF80" s="46">
        <v>0</v>
      </c>
      <c r="AG80" s="46">
        <v>0</v>
      </c>
      <c r="AH80" s="46">
        <v>0</v>
      </c>
      <c r="AI80" s="46">
        <v>0</v>
      </c>
      <c r="AJ80" s="46">
        <v>0</v>
      </c>
      <c r="AK80" s="46">
        <v>0</v>
      </c>
      <c r="AL80" s="46">
        <v>0</v>
      </c>
      <c r="AM80" s="46">
        <v>0</v>
      </c>
      <c r="AN80" s="46">
        <v>0</v>
      </c>
      <c r="AO80" s="46">
        <v>0</v>
      </c>
      <c r="AP80" s="32"/>
      <c r="AQ80" s="43"/>
      <c r="AR80" s="32"/>
      <c r="BA80" s="44" t="str">
        <f>AA80</f>
        <v>I</v>
      </c>
      <c r="BB80" s="45" t="str">
        <f>B80</f>
        <v xml:space="preserve">   Payable / (Receivable) from Corporate</v>
      </c>
      <c r="BC80" s="46">
        <v>0</v>
      </c>
      <c r="BD80" s="46">
        <v>0</v>
      </c>
      <c r="BE80" s="46">
        <v>0</v>
      </c>
      <c r="BF80" s="46">
        <v>0</v>
      </c>
      <c r="BG80" s="46">
        <v>0</v>
      </c>
      <c r="BH80" s="46">
        <v>0</v>
      </c>
      <c r="BI80" s="46">
        <v>0</v>
      </c>
      <c r="BJ80" s="46">
        <v>0</v>
      </c>
      <c r="BK80" s="46">
        <v>0</v>
      </c>
      <c r="BL80" s="46">
        <v>0</v>
      </c>
      <c r="BM80" s="46">
        <v>0</v>
      </c>
      <c r="BN80" s="46">
        <v>0</v>
      </c>
      <c r="BO80" s="46">
        <v>0</v>
      </c>
      <c r="CA80" s="44" t="str">
        <f>A80</f>
        <v>I</v>
      </c>
      <c r="CB80" s="45" t="str">
        <f>B80</f>
        <v xml:space="preserve">   Payable / (Receivable) from Corporate</v>
      </c>
      <c r="CC80" s="135">
        <f t="shared" ref="CC80:CO82" si="76">C80-AC80-BC80</f>
        <v>0</v>
      </c>
      <c r="CD80" s="135">
        <f t="shared" si="76"/>
        <v>0</v>
      </c>
      <c r="CE80" s="135">
        <f t="shared" si="76"/>
        <v>0</v>
      </c>
      <c r="CF80" s="135">
        <f t="shared" si="76"/>
        <v>0</v>
      </c>
      <c r="CG80" s="135">
        <f t="shared" si="76"/>
        <v>0</v>
      </c>
      <c r="CH80" s="135">
        <f t="shared" si="76"/>
        <v>0</v>
      </c>
      <c r="CI80" s="135">
        <f t="shared" si="76"/>
        <v>0</v>
      </c>
      <c r="CJ80" s="135">
        <f t="shared" si="76"/>
        <v>0</v>
      </c>
      <c r="CK80" s="135">
        <f t="shared" si="76"/>
        <v>0</v>
      </c>
      <c r="CL80" s="135">
        <f t="shared" si="76"/>
        <v>0</v>
      </c>
      <c r="CM80" s="135">
        <f t="shared" si="76"/>
        <v>0</v>
      </c>
      <c r="CN80" s="135">
        <f t="shared" si="76"/>
        <v>0</v>
      </c>
      <c r="CO80" s="135">
        <f t="shared" si="76"/>
        <v>0</v>
      </c>
      <c r="CP80" s="32"/>
    </row>
    <row r="81" spans="1:94">
      <c r="A81" s="44" t="s">
        <v>239</v>
      </c>
      <c r="B81" s="45" t="s">
        <v>240</v>
      </c>
      <c r="C81" s="43">
        <f>BACKUP!C485-C82</f>
        <v>499666</v>
      </c>
      <c r="D81" s="43">
        <f>BACKUP!D485-D82</f>
        <v>499672</v>
      </c>
      <c r="E81" s="43">
        <f>BACKUP!E485-E82</f>
        <v>499678</v>
      </c>
      <c r="F81" s="43">
        <f>BACKUP!F485-F82</f>
        <v>499685</v>
      </c>
      <c r="G81" s="43">
        <f>BACKUP!G485-G82</f>
        <v>499691</v>
      </c>
      <c r="H81" s="43">
        <f>BACKUP!H485-H82</f>
        <v>499698</v>
      </c>
      <c r="I81" s="43">
        <f>BACKUP!I485-I82</f>
        <v>499704</v>
      </c>
      <c r="J81" s="43">
        <f>BACKUP!J485-J82</f>
        <v>499711</v>
      </c>
      <c r="K81" s="43">
        <f>BACKUP!K485-K82</f>
        <v>499717</v>
      </c>
      <c r="L81" s="43">
        <f>BACKUP!L485-L82</f>
        <v>499724</v>
      </c>
      <c r="M81" s="43">
        <f>BACKUP!M485-M82</f>
        <v>499730</v>
      </c>
      <c r="N81" s="43">
        <f>BACKUP!N485-N82</f>
        <v>499737</v>
      </c>
      <c r="O81" s="43">
        <f>BACKUP!O485-O82</f>
        <v>499743</v>
      </c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44" t="str">
        <f t="shared" si="75"/>
        <v>J</v>
      </c>
      <c r="AB81" s="45" t="str">
        <f t="shared" si="75"/>
        <v xml:space="preserve">   Long-term Debt - External</v>
      </c>
      <c r="AC81" s="46">
        <v>0</v>
      </c>
      <c r="AD81" s="46">
        <v>0</v>
      </c>
      <c r="AE81" s="46">
        <v>0</v>
      </c>
      <c r="AF81" s="46">
        <v>0</v>
      </c>
      <c r="AG81" s="46">
        <v>0</v>
      </c>
      <c r="AH81" s="46">
        <v>0</v>
      </c>
      <c r="AI81" s="46">
        <v>0</v>
      </c>
      <c r="AJ81" s="46">
        <v>0</v>
      </c>
      <c r="AK81" s="46">
        <v>0</v>
      </c>
      <c r="AL81" s="46">
        <v>0</v>
      </c>
      <c r="AM81" s="46">
        <v>0</v>
      </c>
      <c r="AN81" s="46">
        <v>0</v>
      </c>
      <c r="AO81" s="46">
        <v>0</v>
      </c>
      <c r="AP81" s="32"/>
      <c r="AQ81" s="43"/>
      <c r="AR81" s="32"/>
      <c r="BA81" s="44" t="str">
        <f>AA81</f>
        <v>J</v>
      </c>
      <c r="BB81" s="45" t="str">
        <f>B81</f>
        <v xml:space="preserve">   Long-term Debt - External</v>
      </c>
      <c r="BC81" s="46">
        <v>0</v>
      </c>
      <c r="BD81" s="46">
        <v>0</v>
      </c>
      <c r="BE81" s="46">
        <v>0</v>
      </c>
      <c r="BF81" s="46">
        <v>0</v>
      </c>
      <c r="BG81" s="46">
        <v>0</v>
      </c>
      <c r="BH81" s="46">
        <v>0</v>
      </c>
      <c r="BI81" s="46">
        <v>0</v>
      </c>
      <c r="BJ81" s="46">
        <v>0</v>
      </c>
      <c r="BK81" s="46">
        <v>0</v>
      </c>
      <c r="BL81" s="46">
        <v>0</v>
      </c>
      <c r="BM81" s="46">
        <v>0</v>
      </c>
      <c r="BN81" s="46">
        <v>0</v>
      </c>
      <c r="BO81" s="46">
        <v>0</v>
      </c>
      <c r="CA81" s="44" t="str">
        <f>A81</f>
        <v>J</v>
      </c>
      <c r="CB81" s="45" t="str">
        <f>B81</f>
        <v xml:space="preserve">   Long-term Debt - External</v>
      </c>
      <c r="CC81" s="135">
        <f t="shared" si="76"/>
        <v>499666</v>
      </c>
      <c r="CD81" s="135">
        <f t="shared" si="76"/>
        <v>499672</v>
      </c>
      <c r="CE81" s="135">
        <f t="shared" si="76"/>
        <v>499678</v>
      </c>
      <c r="CF81" s="135">
        <f t="shared" si="76"/>
        <v>499685</v>
      </c>
      <c r="CG81" s="135">
        <f t="shared" si="76"/>
        <v>499691</v>
      </c>
      <c r="CH81" s="135">
        <f t="shared" si="76"/>
        <v>499698</v>
      </c>
      <c r="CI81" s="135">
        <f t="shared" si="76"/>
        <v>499704</v>
      </c>
      <c r="CJ81" s="135">
        <f t="shared" si="76"/>
        <v>499711</v>
      </c>
      <c r="CK81" s="135">
        <f t="shared" si="76"/>
        <v>499717</v>
      </c>
      <c r="CL81" s="135">
        <f t="shared" si="76"/>
        <v>499724</v>
      </c>
      <c r="CM81" s="135">
        <f t="shared" si="76"/>
        <v>499730</v>
      </c>
      <c r="CN81" s="135">
        <f t="shared" si="76"/>
        <v>499737</v>
      </c>
      <c r="CO81" s="135">
        <f t="shared" si="76"/>
        <v>499743</v>
      </c>
      <c r="CP81" s="32"/>
    </row>
    <row r="82" spans="1:94">
      <c r="A82" s="44" t="s">
        <v>239</v>
      </c>
      <c r="B82" s="55" t="s">
        <v>241</v>
      </c>
      <c r="C82" s="48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8">
        <v>0</v>
      </c>
      <c r="J82" s="48">
        <v>0</v>
      </c>
      <c r="K82" s="48">
        <v>0</v>
      </c>
      <c r="L82" s="48">
        <v>0</v>
      </c>
      <c r="M82" s="48">
        <v>0</v>
      </c>
      <c r="N82" s="48">
        <v>0</v>
      </c>
      <c r="O82" s="48">
        <v>0</v>
      </c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44" t="str">
        <f t="shared" si="75"/>
        <v>J</v>
      </c>
      <c r="AB82" s="45" t="str">
        <f t="shared" si="75"/>
        <v xml:space="preserve">                          - Assoc. Companies</v>
      </c>
      <c r="AC82" s="197">
        <v>0</v>
      </c>
      <c r="AD82" s="197">
        <v>0</v>
      </c>
      <c r="AE82" s="197">
        <v>0</v>
      </c>
      <c r="AF82" s="197">
        <v>0</v>
      </c>
      <c r="AG82" s="197">
        <v>0</v>
      </c>
      <c r="AH82" s="197">
        <v>0</v>
      </c>
      <c r="AI82" s="197">
        <v>0</v>
      </c>
      <c r="AJ82" s="197">
        <v>0</v>
      </c>
      <c r="AK82" s="197">
        <v>0</v>
      </c>
      <c r="AL82" s="197">
        <v>0</v>
      </c>
      <c r="AM82" s="197">
        <v>0</v>
      </c>
      <c r="AN82" s="197">
        <v>0</v>
      </c>
      <c r="AO82" s="197">
        <v>0</v>
      </c>
      <c r="AP82" s="32"/>
      <c r="AQ82" s="32"/>
      <c r="AR82" s="32"/>
      <c r="BA82" s="44" t="str">
        <f>AA82</f>
        <v>J</v>
      </c>
      <c r="BB82" s="45" t="str">
        <f>B82</f>
        <v xml:space="preserve">                          - Assoc. Companies</v>
      </c>
      <c r="BC82" s="197">
        <v>0</v>
      </c>
      <c r="BD82" s="197">
        <v>0</v>
      </c>
      <c r="BE82" s="197">
        <v>0</v>
      </c>
      <c r="BF82" s="197">
        <v>0</v>
      </c>
      <c r="BG82" s="197">
        <v>0</v>
      </c>
      <c r="BH82" s="197">
        <v>0</v>
      </c>
      <c r="BI82" s="197">
        <v>0</v>
      </c>
      <c r="BJ82" s="197">
        <v>0</v>
      </c>
      <c r="BK82" s="197">
        <v>0</v>
      </c>
      <c r="BL82" s="197">
        <v>0</v>
      </c>
      <c r="BM82" s="197">
        <v>0</v>
      </c>
      <c r="BN82" s="197">
        <v>0</v>
      </c>
      <c r="BO82" s="197">
        <v>0</v>
      </c>
      <c r="CA82" s="44" t="str">
        <f>A82</f>
        <v>J</v>
      </c>
      <c r="CB82" s="45" t="str">
        <f>B82</f>
        <v xml:space="preserve">                          - Assoc. Companies</v>
      </c>
      <c r="CC82" s="48">
        <f t="shared" si="76"/>
        <v>0</v>
      </c>
      <c r="CD82" s="48">
        <f t="shared" si="76"/>
        <v>0</v>
      </c>
      <c r="CE82" s="48">
        <f t="shared" si="76"/>
        <v>0</v>
      </c>
      <c r="CF82" s="48">
        <f t="shared" si="76"/>
        <v>0</v>
      </c>
      <c r="CG82" s="48">
        <f t="shared" si="76"/>
        <v>0</v>
      </c>
      <c r="CH82" s="48">
        <f t="shared" si="76"/>
        <v>0</v>
      </c>
      <c r="CI82" s="48">
        <f t="shared" si="76"/>
        <v>0</v>
      </c>
      <c r="CJ82" s="48">
        <f t="shared" si="76"/>
        <v>0</v>
      </c>
      <c r="CK82" s="48">
        <f t="shared" si="76"/>
        <v>0</v>
      </c>
      <c r="CL82" s="48">
        <f t="shared" si="76"/>
        <v>0</v>
      </c>
      <c r="CM82" s="48">
        <f t="shared" si="76"/>
        <v>0</v>
      </c>
      <c r="CN82" s="48">
        <f t="shared" si="76"/>
        <v>0</v>
      </c>
      <c r="CO82" s="48">
        <f t="shared" si="76"/>
        <v>0</v>
      </c>
      <c r="CP82" s="32"/>
    </row>
    <row r="83" spans="1:94" ht="3.9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BA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</row>
    <row r="84" spans="1:94">
      <c r="A84" s="29"/>
      <c r="B84" s="30" t="s">
        <v>242</v>
      </c>
      <c r="C84" s="47">
        <f t="shared" ref="C84:O84" si="77">SUM(C80:C83)</f>
        <v>499666</v>
      </c>
      <c r="D84" s="47">
        <f t="shared" si="77"/>
        <v>499672</v>
      </c>
      <c r="E84" s="47">
        <f t="shared" si="77"/>
        <v>499678</v>
      </c>
      <c r="F84" s="47">
        <f t="shared" si="77"/>
        <v>499685</v>
      </c>
      <c r="G84" s="47">
        <f t="shared" si="77"/>
        <v>499691</v>
      </c>
      <c r="H84" s="47">
        <f t="shared" si="77"/>
        <v>499698</v>
      </c>
      <c r="I84" s="47">
        <f t="shared" si="77"/>
        <v>499704</v>
      </c>
      <c r="J84" s="47">
        <f t="shared" si="77"/>
        <v>499711</v>
      </c>
      <c r="K84" s="47">
        <f t="shared" si="77"/>
        <v>499717</v>
      </c>
      <c r="L84" s="47">
        <f t="shared" si="77"/>
        <v>499724</v>
      </c>
      <c r="M84" s="47">
        <f t="shared" si="77"/>
        <v>499730</v>
      </c>
      <c r="N84" s="47">
        <f t="shared" si="77"/>
        <v>499737</v>
      </c>
      <c r="O84" s="47">
        <f t="shared" si="77"/>
        <v>499743</v>
      </c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29"/>
      <c r="AB84" s="30" t="str">
        <f>B84</f>
        <v xml:space="preserve">      Total Debt</v>
      </c>
      <c r="AC84" s="47">
        <f t="shared" ref="AC84:AO84" si="78">SUM(AC80:AC83)</f>
        <v>0</v>
      </c>
      <c r="AD84" s="47">
        <f t="shared" si="78"/>
        <v>0</v>
      </c>
      <c r="AE84" s="47">
        <f t="shared" si="78"/>
        <v>0</v>
      </c>
      <c r="AF84" s="47">
        <f t="shared" si="78"/>
        <v>0</v>
      </c>
      <c r="AG84" s="47">
        <f t="shared" si="78"/>
        <v>0</v>
      </c>
      <c r="AH84" s="47">
        <f t="shared" si="78"/>
        <v>0</v>
      </c>
      <c r="AI84" s="47">
        <f t="shared" si="78"/>
        <v>0</v>
      </c>
      <c r="AJ84" s="47">
        <f t="shared" si="78"/>
        <v>0</v>
      </c>
      <c r="AK84" s="47">
        <f t="shared" si="78"/>
        <v>0</v>
      </c>
      <c r="AL84" s="47">
        <f t="shared" si="78"/>
        <v>0</v>
      </c>
      <c r="AM84" s="47">
        <f t="shared" si="78"/>
        <v>0</v>
      </c>
      <c r="AN84" s="47">
        <f t="shared" si="78"/>
        <v>0</v>
      </c>
      <c r="AO84" s="47">
        <f t="shared" si="78"/>
        <v>0</v>
      </c>
      <c r="AP84" s="32"/>
      <c r="AQ84" s="32"/>
      <c r="AR84" s="32"/>
      <c r="BA84" s="29"/>
      <c r="BB84" s="30" t="str">
        <f>B84</f>
        <v xml:space="preserve">      Total Debt</v>
      </c>
      <c r="BC84" s="47">
        <f t="shared" ref="BC84:BO84" si="79">SUM(BC80:BC83)</f>
        <v>0</v>
      </c>
      <c r="BD84" s="47">
        <f t="shared" si="79"/>
        <v>0</v>
      </c>
      <c r="BE84" s="47">
        <f t="shared" si="79"/>
        <v>0</v>
      </c>
      <c r="BF84" s="47">
        <f t="shared" si="79"/>
        <v>0</v>
      </c>
      <c r="BG84" s="47">
        <f t="shared" si="79"/>
        <v>0</v>
      </c>
      <c r="BH84" s="47">
        <f t="shared" si="79"/>
        <v>0</v>
      </c>
      <c r="BI84" s="47">
        <f t="shared" si="79"/>
        <v>0</v>
      </c>
      <c r="BJ84" s="47">
        <f t="shared" si="79"/>
        <v>0</v>
      </c>
      <c r="BK84" s="47">
        <f t="shared" si="79"/>
        <v>0</v>
      </c>
      <c r="BL84" s="47">
        <f t="shared" si="79"/>
        <v>0</v>
      </c>
      <c r="BM84" s="47">
        <f t="shared" si="79"/>
        <v>0</v>
      </c>
      <c r="BN84" s="47">
        <f t="shared" si="79"/>
        <v>0</v>
      </c>
      <c r="BO84" s="47">
        <f t="shared" si="79"/>
        <v>0</v>
      </c>
      <c r="CA84" s="29"/>
      <c r="CB84" s="30" t="str">
        <f>B84</f>
        <v xml:space="preserve">      Total Debt</v>
      </c>
      <c r="CC84" s="47">
        <f t="shared" ref="CC84:CO84" si="80">SUM(CC80:CC83)</f>
        <v>499666</v>
      </c>
      <c r="CD84" s="47">
        <f t="shared" si="80"/>
        <v>499672</v>
      </c>
      <c r="CE84" s="47">
        <f t="shared" si="80"/>
        <v>499678</v>
      </c>
      <c r="CF84" s="47">
        <f t="shared" si="80"/>
        <v>499685</v>
      </c>
      <c r="CG84" s="47">
        <f t="shared" si="80"/>
        <v>499691</v>
      </c>
      <c r="CH84" s="47">
        <f t="shared" si="80"/>
        <v>499698</v>
      </c>
      <c r="CI84" s="47">
        <f t="shared" si="80"/>
        <v>499704</v>
      </c>
      <c r="CJ84" s="47">
        <f t="shared" si="80"/>
        <v>499711</v>
      </c>
      <c r="CK84" s="47">
        <f t="shared" si="80"/>
        <v>499717</v>
      </c>
      <c r="CL84" s="47">
        <f t="shared" si="80"/>
        <v>499724</v>
      </c>
      <c r="CM84" s="47">
        <f t="shared" si="80"/>
        <v>499730</v>
      </c>
      <c r="CN84" s="47">
        <f t="shared" si="80"/>
        <v>499737</v>
      </c>
      <c r="CO84" s="47">
        <f t="shared" si="80"/>
        <v>499743</v>
      </c>
      <c r="CP84" s="32"/>
    </row>
    <row r="85" spans="1:94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BA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</row>
    <row r="86" spans="1:94">
      <c r="A86" s="29"/>
      <c r="B86" s="30" t="s">
        <v>243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29"/>
      <c r="AB86" s="30" t="str">
        <f>B86</f>
        <v>EQUITY</v>
      </c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BA86" s="29"/>
      <c r="BB86" s="30" t="str">
        <f>B86</f>
        <v>EQUITY</v>
      </c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CA86" s="29"/>
      <c r="CB86" s="30" t="str">
        <f>B86</f>
        <v>EQUITY</v>
      </c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</row>
    <row r="87" spans="1:94">
      <c r="A87" s="32"/>
      <c r="B87" s="45" t="s">
        <v>244</v>
      </c>
      <c r="C87" s="46">
        <v>22</v>
      </c>
      <c r="D87" s="46">
        <v>22</v>
      </c>
      <c r="E87" s="46">
        <v>22</v>
      </c>
      <c r="F87" s="46">
        <v>12</v>
      </c>
      <c r="G87" s="46">
        <v>12</v>
      </c>
      <c r="H87" s="46">
        <v>12</v>
      </c>
      <c r="I87" s="46">
        <v>12</v>
      </c>
      <c r="J87" s="46">
        <v>12</v>
      </c>
      <c r="K87" s="46">
        <v>12</v>
      </c>
      <c r="L87" s="46">
        <v>12</v>
      </c>
      <c r="M87" s="46">
        <v>12</v>
      </c>
      <c r="N87" s="46">
        <v>12</v>
      </c>
      <c r="O87" s="46">
        <v>12</v>
      </c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45" t="str">
        <f>B87</f>
        <v xml:space="preserve">   Common Stock</v>
      </c>
      <c r="AC87" s="46">
        <f>11+10</f>
        <v>21</v>
      </c>
      <c r="AD87" s="198">
        <f>AC87</f>
        <v>21</v>
      </c>
      <c r="AE87" s="198">
        <f t="shared" ref="AE87:AO87" si="81">AD87</f>
        <v>21</v>
      </c>
      <c r="AF87" s="232">
        <f>AE87-10</f>
        <v>11</v>
      </c>
      <c r="AG87" s="198">
        <f t="shared" si="81"/>
        <v>11</v>
      </c>
      <c r="AH87" s="198">
        <f t="shared" si="81"/>
        <v>11</v>
      </c>
      <c r="AI87" s="198">
        <f t="shared" si="81"/>
        <v>11</v>
      </c>
      <c r="AJ87" s="198">
        <f t="shared" si="81"/>
        <v>11</v>
      </c>
      <c r="AK87" s="198">
        <f t="shared" si="81"/>
        <v>11</v>
      </c>
      <c r="AL87" s="198">
        <f t="shared" si="81"/>
        <v>11</v>
      </c>
      <c r="AM87" s="198">
        <f t="shared" si="81"/>
        <v>11</v>
      </c>
      <c r="AN87" s="198">
        <f t="shared" si="81"/>
        <v>11</v>
      </c>
      <c r="AO87" s="198">
        <f t="shared" si="81"/>
        <v>11</v>
      </c>
      <c r="AP87" s="32"/>
      <c r="AQ87" s="43"/>
      <c r="AR87" s="32"/>
      <c r="BA87" s="32"/>
      <c r="BB87" s="45" t="str">
        <f>B87</f>
        <v xml:space="preserve">   Common Stock</v>
      </c>
      <c r="BC87" s="46">
        <v>1</v>
      </c>
      <c r="BD87" s="198">
        <f>BC87</f>
        <v>1</v>
      </c>
      <c r="BE87" s="198">
        <f t="shared" ref="BE87:BO87" si="82">BD87</f>
        <v>1</v>
      </c>
      <c r="BF87" s="198">
        <f t="shared" si="82"/>
        <v>1</v>
      </c>
      <c r="BG87" s="198">
        <f t="shared" si="82"/>
        <v>1</v>
      </c>
      <c r="BH87" s="198">
        <f t="shared" si="82"/>
        <v>1</v>
      </c>
      <c r="BI87" s="198">
        <f t="shared" si="82"/>
        <v>1</v>
      </c>
      <c r="BJ87" s="198">
        <f t="shared" si="82"/>
        <v>1</v>
      </c>
      <c r="BK87" s="198">
        <f t="shared" si="82"/>
        <v>1</v>
      </c>
      <c r="BL87" s="198">
        <f t="shared" si="82"/>
        <v>1</v>
      </c>
      <c r="BM87" s="198">
        <f t="shared" si="82"/>
        <v>1</v>
      </c>
      <c r="BN87" s="198">
        <f t="shared" si="82"/>
        <v>1</v>
      </c>
      <c r="BO87" s="198">
        <f t="shared" si="82"/>
        <v>1</v>
      </c>
      <c r="CA87" s="32"/>
      <c r="CB87" s="45" t="str">
        <f>B87</f>
        <v xml:space="preserve">   Common Stock</v>
      </c>
      <c r="CC87" s="135">
        <f t="shared" ref="CC87:CO90" si="83">C87-AC87-BC87</f>
        <v>0</v>
      </c>
      <c r="CD87" s="135">
        <f t="shared" si="83"/>
        <v>0</v>
      </c>
      <c r="CE87" s="135">
        <f t="shared" si="83"/>
        <v>0</v>
      </c>
      <c r="CF87" s="135">
        <f t="shared" si="83"/>
        <v>0</v>
      </c>
      <c r="CG87" s="135">
        <f t="shared" si="83"/>
        <v>0</v>
      </c>
      <c r="CH87" s="135">
        <f t="shared" si="83"/>
        <v>0</v>
      </c>
      <c r="CI87" s="135">
        <f t="shared" si="83"/>
        <v>0</v>
      </c>
      <c r="CJ87" s="135">
        <f t="shared" si="83"/>
        <v>0</v>
      </c>
      <c r="CK87" s="135">
        <f t="shared" si="83"/>
        <v>0</v>
      </c>
      <c r="CL87" s="135">
        <f t="shared" si="83"/>
        <v>0</v>
      </c>
      <c r="CM87" s="135">
        <f t="shared" si="83"/>
        <v>0</v>
      </c>
      <c r="CN87" s="135">
        <f t="shared" si="83"/>
        <v>0</v>
      </c>
      <c r="CO87" s="135">
        <f t="shared" si="83"/>
        <v>0</v>
      </c>
      <c r="CP87" s="32"/>
    </row>
    <row r="88" spans="1:94">
      <c r="A88" s="32"/>
      <c r="B88" s="45" t="s">
        <v>245</v>
      </c>
      <c r="C88" s="46">
        <v>406122</v>
      </c>
      <c r="D88" s="46">
        <v>406122</v>
      </c>
      <c r="E88" s="46">
        <v>406122</v>
      </c>
      <c r="F88" s="46">
        <v>406122</v>
      </c>
      <c r="G88" s="46">
        <v>406122</v>
      </c>
      <c r="H88" s="46">
        <v>406122</v>
      </c>
      <c r="I88" s="46">
        <v>406122</v>
      </c>
      <c r="J88" s="46">
        <v>406122</v>
      </c>
      <c r="K88" s="46">
        <v>406122</v>
      </c>
      <c r="L88" s="46">
        <v>406122</v>
      </c>
      <c r="M88" s="46">
        <v>406122</v>
      </c>
      <c r="N88" s="46">
        <v>406122</v>
      </c>
      <c r="O88" s="46">
        <v>406122</v>
      </c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45" t="str">
        <f>B88</f>
        <v xml:space="preserve">   Paid-in Capital</v>
      </c>
      <c r="AC88" s="46">
        <v>0</v>
      </c>
      <c r="AD88" s="198">
        <f>AC88</f>
        <v>0</v>
      </c>
      <c r="AE88" s="198">
        <f t="shared" ref="AE88:AO89" si="84">AD88</f>
        <v>0</v>
      </c>
      <c r="AF88" s="198">
        <f t="shared" si="84"/>
        <v>0</v>
      </c>
      <c r="AG88" s="198">
        <f t="shared" si="84"/>
        <v>0</v>
      </c>
      <c r="AH88" s="198">
        <f t="shared" si="84"/>
        <v>0</v>
      </c>
      <c r="AI88" s="198">
        <f t="shared" si="84"/>
        <v>0</v>
      </c>
      <c r="AJ88" s="198">
        <f t="shared" si="84"/>
        <v>0</v>
      </c>
      <c r="AK88" s="198">
        <f t="shared" si="84"/>
        <v>0</v>
      </c>
      <c r="AL88" s="198">
        <f t="shared" si="84"/>
        <v>0</v>
      </c>
      <c r="AM88" s="198">
        <f t="shared" si="84"/>
        <v>0</v>
      </c>
      <c r="AN88" s="198">
        <f t="shared" si="84"/>
        <v>0</v>
      </c>
      <c r="AO88" s="198">
        <f t="shared" si="84"/>
        <v>0</v>
      </c>
      <c r="AP88" s="32"/>
      <c r="AQ88" s="43"/>
      <c r="AR88" s="32"/>
      <c r="BA88" s="32"/>
      <c r="BB88" s="45" t="str">
        <f>B88</f>
        <v xml:space="preserve">   Paid-in Capital</v>
      </c>
      <c r="BC88" s="46">
        <v>4929</v>
      </c>
      <c r="BD88" s="198">
        <f>BC88</f>
        <v>4929</v>
      </c>
      <c r="BE88" s="198">
        <f t="shared" ref="BE88:BO88" si="85">BD88</f>
        <v>4929</v>
      </c>
      <c r="BF88" s="198">
        <f t="shared" si="85"/>
        <v>4929</v>
      </c>
      <c r="BG88" s="198">
        <f t="shared" si="85"/>
        <v>4929</v>
      </c>
      <c r="BH88" s="198">
        <f t="shared" si="85"/>
        <v>4929</v>
      </c>
      <c r="BI88" s="198">
        <f t="shared" si="85"/>
        <v>4929</v>
      </c>
      <c r="BJ88" s="198">
        <f t="shared" si="85"/>
        <v>4929</v>
      </c>
      <c r="BK88" s="198">
        <f t="shared" si="85"/>
        <v>4929</v>
      </c>
      <c r="BL88" s="198">
        <f t="shared" si="85"/>
        <v>4929</v>
      </c>
      <c r="BM88" s="198">
        <f t="shared" si="85"/>
        <v>4929</v>
      </c>
      <c r="BN88" s="198">
        <f t="shared" si="85"/>
        <v>4929</v>
      </c>
      <c r="BO88" s="198">
        <f t="shared" si="85"/>
        <v>4929</v>
      </c>
      <c r="CA88" s="32"/>
      <c r="CB88" s="45" t="str">
        <f>B88</f>
        <v xml:space="preserve">   Paid-in Capital</v>
      </c>
      <c r="CC88" s="135">
        <f t="shared" si="83"/>
        <v>401193</v>
      </c>
      <c r="CD88" s="135">
        <f t="shared" si="83"/>
        <v>401193</v>
      </c>
      <c r="CE88" s="135">
        <f t="shared" si="83"/>
        <v>401193</v>
      </c>
      <c r="CF88" s="135">
        <f t="shared" si="83"/>
        <v>401193</v>
      </c>
      <c r="CG88" s="135">
        <f t="shared" si="83"/>
        <v>401193</v>
      </c>
      <c r="CH88" s="135">
        <f t="shared" si="83"/>
        <v>401193</v>
      </c>
      <c r="CI88" s="135">
        <f t="shared" si="83"/>
        <v>401193</v>
      </c>
      <c r="CJ88" s="135">
        <f t="shared" si="83"/>
        <v>401193</v>
      </c>
      <c r="CK88" s="135">
        <f t="shared" si="83"/>
        <v>401193</v>
      </c>
      <c r="CL88" s="135">
        <f t="shared" si="83"/>
        <v>401193</v>
      </c>
      <c r="CM88" s="135">
        <f t="shared" si="83"/>
        <v>401193</v>
      </c>
      <c r="CN88" s="135">
        <f t="shared" si="83"/>
        <v>401193</v>
      </c>
      <c r="CO88" s="135">
        <f t="shared" si="83"/>
        <v>401193</v>
      </c>
      <c r="CP88" s="32"/>
    </row>
    <row r="89" spans="1:94">
      <c r="A89" s="32"/>
      <c r="B89" s="55" t="s">
        <v>590</v>
      </c>
      <c r="C89" s="135">
        <f>BACKUP!C494+BACKUP!C495</f>
        <v>0</v>
      </c>
      <c r="D89" s="135">
        <f>C89+BACKUP!D494+BACKUP!D495</f>
        <v>466</v>
      </c>
      <c r="E89" s="135">
        <f>D89+BACKUP!E494+BACKUP!E495</f>
        <v>333</v>
      </c>
      <c r="F89" s="135">
        <f>E89+BACKUP!F494+BACKUP!F495</f>
        <v>-15</v>
      </c>
      <c r="G89" s="135">
        <f>F89+BACKUP!G494+BACKUP!G495</f>
        <v>0</v>
      </c>
      <c r="H89" s="135">
        <f>G89+BACKUP!H494+BACKUP!H495</f>
        <v>0</v>
      </c>
      <c r="I89" s="135">
        <f>H89+BACKUP!I494+BACKUP!I495</f>
        <v>0</v>
      </c>
      <c r="J89" s="135">
        <f>I89+BACKUP!J494+BACKUP!J495</f>
        <v>0</v>
      </c>
      <c r="K89" s="135">
        <f>J89+BACKUP!K494+BACKUP!K495</f>
        <v>0</v>
      </c>
      <c r="L89" s="135">
        <f>K89+BACKUP!L494+BACKUP!L495</f>
        <v>0</v>
      </c>
      <c r="M89" s="135">
        <f>L89+BACKUP!M494+BACKUP!M495</f>
        <v>0</v>
      </c>
      <c r="N89" s="135">
        <f>M89+BACKUP!N494+BACKUP!N495</f>
        <v>0</v>
      </c>
      <c r="O89" s="135">
        <f>N89+BACKUP!O494+BACKUP!O495</f>
        <v>0</v>
      </c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45" t="str">
        <f>B89</f>
        <v xml:space="preserve">   Accumulated Other Comprehensive Income</v>
      </c>
      <c r="AC89" s="46">
        <v>0</v>
      </c>
      <c r="AD89" s="198">
        <f>AC89</f>
        <v>0</v>
      </c>
      <c r="AE89" s="198">
        <f t="shared" si="84"/>
        <v>0</v>
      </c>
      <c r="AF89" s="198">
        <f t="shared" si="84"/>
        <v>0</v>
      </c>
      <c r="AG89" s="198">
        <f t="shared" si="84"/>
        <v>0</v>
      </c>
      <c r="AH89" s="198">
        <f t="shared" si="84"/>
        <v>0</v>
      </c>
      <c r="AI89" s="198">
        <f t="shared" si="84"/>
        <v>0</v>
      </c>
      <c r="AJ89" s="198">
        <f t="shared" si="84"/>
        <v>0</v>
      </c>
      <c r="AK89" s="198">
        <f t="shared" si="84"/>
        <v>0</v>
      </c>
      <c r="AL89" s="198">
        <f t="shared" si="84"/>
        <v>0</v>
      </c>
      <c r="AM89" s="198">
        <f t="shared" si="84"/>
        <v>0</v>
      </c>
      <c r="AN89" s="198">
        <f t="shared" si="84"/>
        <v>0</v>
      </c>
      <c r="AO89" s="198">
        <f t="shared" si="84"/>
        <v>0</v>
      </c>
      <c r="AP89" s="32"/>
      <c r="AQ89" s="43"/>
      <c r="AR89" s="32"/>
      <c r="BA89" s="32"/>
      <c r="BB89" s="45" t="str">
        <f>B89</f>
        <v xml:space="preserve">   Accumulated Other Comprehensive Income</v>
      </c>
      <c r="BC89" s="46">
        <v>0</v>
      </c>
      <c r="BD89" s="198">
        <f>BC89</f>
        <v>0</v>
      </c>
      <c r="BE89" s="198">
        <f t="shared" ref="BE89:BO89" si="86">BD89</f>
        <v>0</v>
      </c>
      <c r="BF89" s="198">
        <f t="shared" si="86"/>
        <v>0</v>
      </c>
      <c r="BG89" s="198">
        <f t="shared" si="86"/>
        <v>0</v>
      </c>
      <c r="BH89" s="198">
        <f t="shared" si="86"/>
        <v>0</v>
      </c>
      <c r="BI89" s="198">
        <f t="shared" si="86"/>
        <v>0</v>
      </c>
      <c r="BJ89" s="198">
        <f t="shared" si="86"/>
        <v>0</v>
      </c>
      <c r="BK89" s="198">
        <f t="shared" si="86"/>
        <v>0</v>
      </c>
      <c r="BL89" s="198">
        <f t="shared" si="86"/>
        <v>0</v>
      </c>
      <c r="BM89" s="198">
        <f t="shared" si="86"/>
        <v>0</v>
      </c>
      <c r="BN89" s="198">
        <f t="shared" si="86"/>
        <v>0</v>
      </c>
      <c r="BO89" s="198">
        <f t="shared" si="86"/>
        <v>0</v>
      </c>
      <c r="CA89" s="32"/>
      <c r="CB89" s="45" t="str">
        <f>B89</f>
        <v xml:space="preserve">   Accumulated Other Comprehensive Income</v>
      </c>
      <c r="CC89" s="135">
        <f t="shared" si="83"/>
        <v>0</v>
      </c>
      <c r="CD89" s="135">
        <f t="shared" si="83"/>
        <v>466</v>
      </c>
      <c r="CE89" s="135">
        <f t="shared" si="83"/>
        <v>333</v>
      </c>
      <c r="CF89" s="135">
        <f t="shared" si="83"/>
        <v>-15</v>
      </c>
      <c r="CG89" s="135">
        <f t="shared" si="83"/>
        <v>0</v>
      </c>
      <c r="CH89" s="135">
        <f t="shared" si="83"/>
        <v>0</v>
      </c>
      <c r="CI89" s="135">
        <f t="shared" si="83"/>
        <v>0</v>
      </c>
      <c r="CJ89" s="135">
        <f t="shared" si="83"/>
        <v>0</v>
      </c>
      <c r="CK89" s="135">
        <f t="shared" si="83"/>
        <v>0</v>
      </c>
      <c r="CL89" s="135">
        <f t="shared" si="83"/>
        <v>0</v>
      </c>
      <c r="CM89" s="135">
        <f t="shared" si="83"/>
        <v>0</v>
      </c>
      <c r="CN89" s="135">
        <f t="shared" si="83"/>
        <v>0</v>
      </c>
      <c r="CO89" s="135">
        <f t="shared" si="83"/>
        <v>0</v>
      </c>
      <c r="CP89" s="32"/>
    </row>
    <row r="90" spans="1:94">
      <c r="A90" s="32"/>
      <c r="B90" s="45" t="s">
        <v>246</v>
      </c>
      <c r="C90" s="47">
        <f>BACKUP!C500-C87-C88-C89</f>
        <v>681383</v>
      </c>
      <c r="D90" s="47">
        <f>BACKUP!D500-D87-D88-D89</f>
        <v>701018</v>
      </c>
      <c r="E90" s="47">
        <f>BACKUP!E500-E87-E88-E89</f>
        <v>719803</v>
      </c>
      <c r="F90" s="47">
        <f>BACKUP!F500-F87-F88-F89</f>
        <v>732530</v>
      </c>
      <c r="G90" s="47">
        <f>BACKUP!G500-G87-G88-G89</f>
        <v>735613</v>
      </c>
      <c r="H90" s="47">
        <f>BACKUP!H500-H87-H88-H89</f>
        <v>736602</v>
      </c>
      <c r="I90" s="47">
        <f>BACKUP!I500-I87-I88-I89</f>
        <v>739568</v>
      </c>
      <c r="J90" s="47">
        <f>BACKUP!J500-J87-J88-J89</f>
        <v>741116</v>
      </c>
      <c r="K90" s="47">
        <f>BACKUP!K500-K87-K88-K89</f>
        <v>743590</v>
      </c>
      <c r="L90" s="47">
        <f>BACKUP!L500-L87-L88-L89</f>
        <v>744236</v>
      </c>
      <c r="M90" s="47">
        <f>BACKUP!M500-M87-M88-M89</f>
        <v>743051</v>
      </c>
      <c r="N90" s="47">
        <f>BACKUP!N500-N87-N88-N89</f>
        <v>759402</v>
      </c>
      <c r="O90" s="47">
        <f>BACKUP!O500-O87-O88-O89</f>
        <v>776158</v>
      </c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45" t="str">
        <f>B90</f>
        <v xml:space="preserve">   Retained Earnings</v>
      </c>
      <c r="AC90" s="197">
        <v>67736</v>
      </c>
      <c r="AD90" s="235">
        <f>AC90+[1]IncomeState!C157-2+1</f>
        <v>68048</v>
      </c>
      <c r="AE90" s="235">
        <f>AD90+[1]IncomeState!D157+1</f>
        <v>68235</v>
      </c>
      <c r="AF90" s="235">
        <f>AE90+[1]IncomeState!E157+2-4967</f>
        <v>63444</v>
      </c>
      <c r="AG90" s="235">
        <f>AF90+[1]IncomeState!F157+1</f>
        <v>64252</v>
      </c>
      <c r="AH90" s="235">
        <f>AG90+[1]IncomeState!G157-3</f>
        <v>64428</v>
      </c>
      <c r="AI90" s="204">
        <f>AH90+[1]IncomeState!H157</f>
        <v>64684</v>
      </c>
      <c r="AJ90" s="235">
        <f>AI90+[1]IncomeState!I157+1</f>
        <v>64873</v>
      </c>
      <c r="AK90" s="204">
        <f>AJ90+[1]IncomeState!J157</f>
        <v>65022</v>
      </c>
      <c r="AL90" s="204">
        <f>AK90+[1]IncomeState!K157</f>
        <v>65205</v>
      </c>
      <c r="AM90" s="204">
        <f>AL90+[1]IncomeState!L157</f>
        <v>65392</v>
      </c>
      <c r="AN90" s="204">
        <f>AM90+[1]IncomeState!M157</f>
        <v>65589</v>
      </c>
      <c r="AO90" s="204">
        <f>AN90+[1]IncomeState!N157</f>
        <v>65581</v>
      </c>
      <c r="AP90" s="32"/>
      <c r="AQ90" s="43"/>
      <c r="AR90" s="32"/>
      <c r="BA90" s="32"/>
      <c r="BB90" s="45" t="str">
        <f>B90</f>
        <v xml:space="preserve">   Retained Earnings</v>
      </c>
      <c r="BC90" s="197">
        <v>-522</v>
      </c>
      <c r="BD90" s="235">
        <f>BC90-17-1</f>
        <v>-540</v>
      </c>
      <c r="BE90" s="235">
        <f t="shared" ref="BE90:BO90" si="87">BD90-17</f>
        <v>-557</v>
      </c>
      <c r="BF90" s="235">
        <f t="shared" si="87"/>
        <v>-574</v>
      </c>
      <c r="BG90" s="235">
        <f t="shared" si="87"/>
        <v>-591</v>
      </c>
      <c r="BH90" s="235">
        <f t="shared" si="87"/>
        <v>-608</v>
      </c>
      <c r="BI90" s="235">
        <f>BH90-17</f>
        <v>-625</v>
      </c>
      <c r="BJ90" s="235">
        <f t="shared" si="87"/>
        <v>-642</v>
      </c>
      <c r="BK90" s="235">
        <f t="shared" si="87"/>
        <v>-659</v>
      </c>
      <c r="BL90" s="235">
        <f t="shared" si="87"/>
        <v>-676</v>
      </c>
      <c r="BM90" s="235">
        <f t="shared" si="87"/>
        <v>-693</v>
      </c>
      <c r="BN90" s="235">
        <f t="shared" si="87"/>
        <v>-710</v>
      </c>
      <c r="BO90" s="235">
        <f t="shared" si="87"/>
        <v>-727</v>
      </c>
      <c r="CA90" s="32"/>
      <c r="CB90" s="45" t="str">
        <f>B90</f>
        <v xml:space="preserve">   Retained Earnings</v>
      </c>
      <c r="CC90" s="48">
        <f t="shared" si="83"/>
        <v>614169</v>
      </c>
      <c r="CD90" s="48">
        <f t="shared" si="83"/>
        <v>633510</v>
      </c>
      <c r="CE90" s="48">
        <f t="shared" si="83"/>
        <v>652125</v>
      </c>
      <c r="CF90" s="48">
        <f t="shared" si="83"/>
        <v>669660</v>
      </c>
      <c r="CG90" s="48">
        <f t="shared" si="83"/>
        <v>671952</v>
      </c>
      <c r="CH90" s="48">
        <f t="shared" si="83"/>
        <v>672782</v>
      </c>
      <c r="CI90" s="48">
        <f t="shared" si="83"/>
        <v>675509</v>
      </c>
      <c r="CJ90" s="48">
        <f t="shared" si="83"/>
        <v>676885</v>
      </c>
      <c r="CK90" s="48">
        <f t="shared" si="83"/>
        <v>679227</v>
      </c>
      <c r="CL90" s="48">
        <f t="shared" si="83"/>
        <v>679707</v>
      </c>
      <c r="CM90" s="48">
        <f t="shared" si="83"/>
        <v>678352</v>
      </c>
      <c r="CN90" s="48">
        <f t="shared" si="83"/>
        <v>694523</v>
      </c>
      <c r="CO90" s="48">
        <f t="shared" si="83"/>
        <v>711304</v>
      </c>
      <c r="CP90" s="32"/>
    </row>
    <row r="91" spans="1:94" ht="3.9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BA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</row>
    <row r="92" spans="1:94">
      <c r="A92" s="44" t="s">
        <v>247</v>
      </c>
      <c r="B92" s="30" t="s">
        <v>248</v>
      </c>
      <c r="C92" s="47">
        <f t="shared" ref="C92:O92" si="88">SUM(C87:C91)</f>
        <v>1087527</v>
      </c>
      <c r="D92" s="47">
        <f t="shared" si="88"/>
        <v>1107628</v>
      </c>
      <c r="E92" s="47">
        <f t="shared" si="88"/>
        <v>1126280</v>
      </c>
      <c r="F92" s="47">
        <f t="shared" si="88"/>
        <v>1138649</v>
      </c>
      <c r="G92" s="47">
        <f t="shared" si="88"/>
        <v>1141747</v>
      </c>
      <c r="H92" s="47">
        <f t="shared" si="88"/>
        <v>1142736</v>
      </c>
      <c r="I92" s="47">
        <f t="shared" si="88"/>
        <v>1145702</v>
      </c>
      <c r="J92" s="47">
        <f t="shared" si="88"/>
        <v>1147250</v>
      </c>
      <c r="K92" s="47">
        <f t="shared" si="88"/>
        <v>1149724</v>
      </c>
      <c r="L92" s="47">
        <f t="shared" si="88"/>
        <v>1150370</v>
      </c>
      <c r="M92" s="47">
        <f t="shared" si="88"/>
        <v>1149185</v>
      </c>
      <c r="N92" s="47">
        <f t="shared" si="88"/>
        <v>1165536</v>
      </c>
      <c r="O92" s="47">
        <f t="shared" si="88"/>
        <v>1182292</v>
      </c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44" t="str">
        <f>A92</f>
        <v>K</v>
      </c>
      <c r="AB92" s="30" t="str">
        <f>B92</f>
        <v xml:space="preserve">      Total Equity</v>
      </c>
      <c r="AC92" s="47">
        <f t="shared" ref="AC92:AO92" si="89">SUM(AC87:AC91)</f>
        <v>67757</v>
      </c>
      <c r="AD92" s="47">
        <f t="shared" si="89"/>
        <v>68069</v>
      </c>
      <c r="AE92" s="47">
        <f t="shared" si="89"/>
        <v>68256</v>
      </c>
      <c r="AF92" s="47">
        <f t="shared" si="89"/>
        <v>63455</v>
      </c>
      <c r="AG92" s="47">
        <f t="shared" si="89"/>
        <v>64263</v>
      </c>
      <c r="AH92" s="47">
        <f t="shared" si="89"/>
        <v>64439</v>
      </c>
      <c r="AI92" s="47">
        <f t="shared" si="89"/>
        <v>64695</v>
      </c>
      <c r="AJ92" s="47">
        <f t="shared" si="89"/>
        <v>64884</v>
      </c>
      <c r="AK92" s="47">
        <f t="shared" si="89"/>
        <v>65033</v>
      </c>
      <c r="AL92" s="47">
        <f t="shared" si="89"/>
        <v>65216</v>
      </c>
      <c r="AM92" s="47">
        <f t="shared" si="89"/>
        <v>65403</v>
      </c>
      <c r="AN92" s="47">
        <f t="shared" si="89"/>
        <v>65600</v>
      </c>
      <c r="AO92" s="47">
        <f t="shared" si="89"/>
        <v>65592</v>
      </c>
      <c r="AP92" s="32"/>
      <c r="AQ92" s="43"/>
      <c r="AR92" s="32"/>
      <c r="BA92" s="44" t="str">
        <f>AA92</f>
        <v>K</v>
      </c>
      <c r="BB92" s="30" t="str">
        <f>B92</f>
        <v xml:space="preserve">      Total Equity</v>
      </c>
      <c r="BC92" s="47">
        <f t="shared" ref="BC92:BO92" si="90">SUM(BC87:BC91)</f>
        <v>4408</v>
      </c>
      <c r="BD92" s="47">
        <f t="shared" si="90"/>
        <v>4390</v>
      </c>
      <c r="BE92" s="47">
        <f t="shared" si="90"/>
        <v>4373</v>
      </c>
      <c r="BF92" s="47">
        <f t="shared" si="90"/>
        <v>4356</v>
      </c>
      <c r="BG92" s="47">
        <f t="shared" si="90"/>
        <v>4339</v>
      </c>
      <c r="BH92" s="47">
        <f t="shared" si="90"/>
        <v>4322</v>
      </c>
      <c r="BI92" s="47">
        <f t="shared" si="90"/>
        <v>4305</v>
      </c>
      <c r="BJ92" s="47">
        <f t="shared" si="90"/>
        <v>4288</v>
      </c>
      <c r="BK92" s="47">
        <f t="shared" si="90"/>
        <v>4271</v>
      </c>
      <c r="BL92" s="47">
        <f t="shared" si="90"/>
        <v>4254</v>
      </c>
      <c r="BM92" s="47">
        <f t="shared" si="90"/>
        <v>4237</v>
      </c>
      <c r="BN92" s="47">
        <f t="shared" si="90"/>
        <v>4220</v>
      </c>
      <c r="BO92" s="47">
        <f t="shared" si="90"/>
        <v>4203</v>
      </c>
      <c r="CA92" s="44" t="str">
        <f>A92</f>
        <v>K</v>
      </c>
      <c r="CB92" s="30" t="str">
        <f>B92</f>
        <v xml:space="preserve">      Total Equity</v>
      </c>
      <c r="CC92" s="47">
        <f t="shared" ref="CC92:CO92" si="91">SUM(CC87:CC91)</f>
        <v>1015362</v>
      </c>
      <c r="CD92" s="47">
        <f t="shared" si="91"/>
        <v>1035169</v>
      </c>
      <c r="CE92" s="47">
        <f t="shared" si="91"/>
        <v>1053651</v>
      </c>
      <c r="CF92" s="47">
        <f t="shared" si="91"/>
        <v>1070838</v>
      </c>
      <c r="CG92" s="47">
        <f t="shared" si="91"/>
        <v>1073145</v>
      </c>
      <c r="CH92" s="47">
        <f t="shared" si="91"/>
        <v>1073975</v>
      </c>
      <c r="CI92" s="47">
        <f t="shared" si="91"/>
        <v>1076702</v>
      </c>
      <c r="CJ92" s="47">
        <f t="shared" si="91"/>
        <v>1078078</v>
      </c>
      <c r="CK92" s="47">
        <f t="shared" si="91"/>
        <v>1080420</v>
      </c>
      <c r="CL92" s="47">
        <f t="shared" si="91"/>
        <v>1080900</v>
      </c>
      <c r="CM92" s="47">
        <f t="shared" si="91"/>
        <v>1079545</v>
      </c>
      <c r="CN92" s="47">
        <f t="shared" si="91"/>
        <v>1095716</v>
      </c>
      <c r="CO92" s="47">
        <f t="shared" si="91"/>
        <v>1112497</v>
      </c>
      <c r="CP92" s="32"/>
    </row>
    <row r="93" spans="1:94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</row>
    <row r="94" spans="1:94">
      <c r="A94" s="32"/>
      <c r="B94" s="32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32"/>
      <c r="AQ94" s="43"/>
      <c r="AR94" s="32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CA94" s="32"/>
      <c r="CB94" s="32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32"/>
    </row>
    <row r="95" spans="1:94">
      <c r="A95" s="29"/>
      <c r="B95" s="30" t="s">
        <v>249</v>
      </c>
      <c r="C95" s="49">
        <f t="shared" ref="C95:O95" si="92">C69+C77+C84+C92</f>
        <v>2056033</v>
      </c>
      <c r="D95" s="49">
        <f t="shared" si="92"/>
        <v>2144174</v>
      </c>
      <c r="E95" s="49">
        <f t="shared" si="92"/>
        <v>2117619</v>
      </c>
      <c r="F95" s="49">
        <f t="shared" si="92"/>
        <v>2119251</v>
      </c>
      <c r="G95" s="49">
        <f t="shared" si="92"/>
        <v>2139763</v>
      </c>
      <c r="H95" s="49">
        <f t="shared" si="92"/>
        <v>2113806</v>
      </c>
      <c r="I95" s="49">
        <f t="shared" si="92"/>
        <v>2098426</v>
      </c>
      <c r="J95" s="49">
        <f t="shared" si="92"/>
        <v>2085765</v>
      </c>
      <c r="K95" s="49">
        <f t="shared" si="92"/>
        <v>2099792</v>
      </c>
      <c r="L95" s="49">
        <f t="shared" si="92"/>
        <v>2101658</v>
      </c>
      <c r="M95" s="49">
        <f t="shared" si="92"/>
        <v>2088443</v>
      </c>
      <c r="N95" s="49">
        <f t="shared" si="92"/>
        <v>2099313</v>
      </c>
      <c r="O95" s="49">
        <f t="shared" si="92"/>
        <v>2096348</v>
      </c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29"/>
      <c r="AB95" s="30" t="str">
        <f>B95</f>
        <v xml:space="preserve">            TOTAL LIABILITIES &amp; EQUITY</v>
      </c>
      <c r="AC95" s="49">
        <f t="shared" ref="AC95:AO95" si="93">AC69+AC77+AC84+AC92</f>
        <v>74716</v>
      </c>
      <c r="AD95" s="49">
        <f t="shared" si="93"/>
        <v>74944</v>
      </c>
      <c r="AE95" s="49">
        <f t="shared" si="93"/>
        <v>75046</v>
      </c>
      <c r="AF95" s="49">
        <f t="shared" si="93"/>
        <v>70097</v>
      </c>
      <c r="AG95" s="49">
        <f t="shared" si="93"/>
        <v>70820</v>
      </c>
      <c r="AH95" s="49">
        <f t="shared" si="93"/>
        <v>70912</v>
      </c>
      <c r="AI95" s="49">
        <f t="shared" si="93"/>
        <v>71083</v>
      </c>
      <c r="AJ95" s="49">
        <f t="shared" si="93"/>
        <v>71188</v>
      </c>
      <c r="AK95" s="49">
        <f t="shared" si="93"/>
        <v>71252</v>
      </c>
      <c r="AL95" s="49">
        <f t="shared" si="93"/>
        <v>71351</v>
      </c>
      <c r="AM95" s="49">
        <f t="shared" si="93"/>
        <v>71410</v>
      </c>
      <c r="AN95" s="49">
        <f t="shared" si="93"/>
        <v>71472</v>
      </c>
      <c r="AO95" s="49">
        <f t="shared" si="93"/>
        <v>71458</v>
      </c>
      <c r="AP95" s="32"/>
      <c r="AQ95" s="43"/>
      <c r="AR95" s="32"/>
      <c r="BB95" s="30" t="str">
        <f>B95</f>
        <v xml:space="preserve">            TOTAL LIABILITIES &amp; EQUITY</v>
      </c>
      <c r="BC95" s="49">
        <f t="shared" ref="BC95:BO95" si="94">BC69+BC77+BC84+BC92</f>
        <v>8068</v>
      </c>
      <c r="BD95" s="49">
        <f t="shared" si="94"/>
        <v>8040</v>
      </c>
      <c r="BE95" s="49">
        <f t="shared" si="94"/>
        <v>8014</v>
      </c>
      <c r="BF95" s="49">
        <f t="shared" si="94"/>
        <v>7988</v>
      </c>
      <c r="BG95" s="49">
        <f t="shared" si="94"/>
        <v>7962</v>
      </c>
      <c r="BH95" s="49">
        <f t="shared" si="94"/>
        <v>7936</v>
      </c>
      <c r="BI95" s="49">
        <f t="shared" si="94"/>
        <v>7909</v>
      </c>
      <c r="BJ95" s="49">
        <f t="shared" si="94"/>
        <v>7883</v>
      </c>
      <c r="BK95" s="49">
        <f t="shared" si="94"/>
        <v>7857</v>
      </c>
      <c r="BL95" s="49">
        <f t="shared" si="94"/>
        <v>7831</v>
      </c>
      <c r="BM95" s="49">
        <f t="shared" si="94"/>
        <v>7805</v>
      </c>
      <c r="BN95" s="49">
        <f t="shared" si="94"/>
        <v>7779</v>
      </c>
      <c r="BO95" s="49">
        <f t="shared" si="94"/>
        <v>7753</v>
      </c>
      <c r="CA95" s="29"/>
      <c r="CB95" s="30" t="str">
        <f>B95</f>
        <v xml:space="preserve">            TOTAL LIABILITIES &amp; EQUITY</v>
      </c>
      <c r="CC95" s="49">
        <f t="shared" ref="CC95:CO95" si="95">CC69+CC77+CC84+CC92</f>
        <v>1973249</v>
      </c>
      <c r="CD95" s="49">
        <f t="shared" si="95"/>
        <v>2061190</v>
      </c>
      <c r="CE95" s="49">
        <f t="shared" si="95"/>
        <v>2034559</v>
      </c>
      <c r="CF95" s="49">
        <f t="shared" si="95"/>
        <v>2041166</v>
      </c>
      <c r="CG95" s="49">
        <f t="shared" si="95"/>
        <v>2060981</v>
      </c>
      <c r="CH95" s="49">
        <f t="shared" si="95"/>
        <v>2034958</v>
      </c>
      <c r="CI95" s="49">
        <f t="shared" si="95"/>
        <v>2019434</v>
      </c>
      <c r="CJ95" s="49">
        <f t="shared" si="95"/>
        <v>2006694</v>
      </c>
      <c r="CK95" s="49">
        <f t="shared" si="95"/>
        <v>2020683</v>
      </c>
      <c r="CL95" s="49">
        <f t="shared" si="95"/>
        <v>2022476</v>
      </c>
      <c r="CM95" s="49">
        <f t="shared" si="95"/>
        <v>2009228</v>
      </c>
      <c r="CN95" s="49">
        <f t="shared" si="95"/>
        <v>2020062</v>
      </c>
      <c r="CO95" s="49">
        <f t="shared" si="95"/>
        <v>2017137</v>
      </c>
      <c r="CP95" s="32"/>
    </row>
    <row r="96" spans="1:94">
      <c r="A96" s="32"/>
      <c r="B96" s="32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32"/>
      <c r="AQ96" s="32"/>
      <c r="AR96" s="32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CA96" s="32"/>
      <c r="CB96" s="32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32"/>
    </row>
    <row r="97" spans="1:94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</row>
    <row r="98" spans="1:94">
      <c r="A98" s="32"/>
      <c r="B98" s="45" t="s">
        <v>250</v>
      </c>
      <c r="C98" s="43">
        <f t="shared" ref="C98:O98" si="96">C52-C95</f>
        <v>0</v>
      </c>
      <c r="D98" s="43">
        <f t="shared" si="96"/>
        <v>0</v>
      </c>
      <c r="E98" s="43">
        <f t="shared" si="96"/>
        <v>0</v>
      </c>
      <c r="F98" s="43">
        <f t="shared" si="96"/>
        <v>0</v>
      </c>
      <c r="G98" s="43">
        <f t="shared" si="96"/>
        <v>0</v>
      </c>
      <c r="H98" s="43">
        <f t="shared" si="96"/>
        <v>0</v>
      </c>
      <c r="I98" s="43">
        <f t="shared" si="96"/>
        <v>0</v>
      </c>
      <c r="J98" s="43">
        <f t="shared" si="96"/>
        <v>0</v>
      </c>
      <c r="K98" s="43">
        <f t="shared" si="96"/>
        <v>0</v>
      </c>
      <c r="L98" s="43">
        <f t="shared" si="96"/>
        <v>0</v>
      </c>
      <c r="M98" s="43">
        <f t="shared" si="96"/>
        <v>0</v>
      </c>
      <c r="N98" s="43">
        <f t="shared" si="96"/>
        <v>0</v>
      </c>
      <c r="O98" s="43">
        <f t="shared" si="96"/>
        <v>0</v>
      </c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45" t="str">
        <f>B98</f>
        <v xml:space="preserve">      CHECK #</v>
      </c>
      <c r="AC98" s="43">
        <f t="shared" ref="AC98:AO98" si="97">AC52-AC95</f>
        <v>0</v>
      </c>
      <c r="AD98" s="43">
        <f t="shared" si="97"/>
        <v>0</v>
      </c>
      <c r="AE98" s="43">
        <f t="shared" si="97"/>
        <v>0</v>
      </c>
      <c r="AF98" s="43">
        <f t="shared" si="97"/>
        <v>0</v>
      </c>
      <c r="AG98" s="43">
        <f t="shared" si="97"/>
        <v>0</v>
      </c>
      <c r="AH98" s="43">
        <f t="shared" si="97"/>
        <v>0</v>
      </c>
      <c r="AI98" s="43">
        <f t="shared" si="97"/>
        <v>0</v>
      </c>
      <c r="AJ98" s="43">
        <f t="shared" si="97"/>
        <v>0</v>
      </c>
      <c r="AK98" s="43">
        <f t="shared" si="97"/>
        <v>-2</v>
      </c>
      <c r="AL98" s="43">
        <f t="shared" si="97"/>
        <v>-5</v>
      </c>
      <c r="AM98" s="43">
        <f t="shared" si="97"/>
        <v>-11</v>
      </c>
      <c r="AN98" s="43">
        <f t="shared" si="97"/>
        <v>-17</v>
      </c>
      <c r="AO98" s="43">
        <f t="shared" si="97"/>
        <v>-16</v>
      </c>
      <c r="AP98" s="32"/>
      <c r="AQ98" s="32"/>
      <c r="AR98" s="32"/>
      <c r="BB98" s="45" t="str">
        <f>B98</f>
        <v xml:space="preserve">      CHECK #</v>
      </c>
      <c r="BC98" s="43">
        <f t="shared" ref="BC98:BO98" si="98">BC52-BC95</f>
        <v>0</v>
      </c>
      <c r="BD98" s="43">
        <f t="shared" si="98"/>
        <v>0</v>
      </c>
      <c r="BE98" s="43">
        <f t="shared" si="98"/>
        <v>0</v>
      </c>
      <c r="BF98" s="43">
        <f t="shared" si="98"/>
        <v>0</v>
      </c>
      <c r="BG98" s="43">
        <f t="shared" si="98"/>
        <v>0</v>
      </c>
      <c r="BH98" s="43">
        <f t="shared" si="98"/>
        <v>0</v>
      </c>
      <c r="BI98" s="43">
        <f t="shared" si="98"/>
        <v>0</v>
      </c>
      <c r="BJ98" s="43">
        <f t="shared" si="98"/>
        <v>0</v>
      </c>
      <c r="BK98" s="43">
        <f t="shared" si="98"/>
        <v>0</v>
      </c>
      <c r="BL98" s="43">
        <f t="shared" si="98"/>
        <v>0</v>
      </c>
      <c r="BM98" s="43">
        <f t="shared" si="98"/>
        <v>0</v>
      </c>
      <c r="BN98" s="43">
        <f t="shared" si="98"/>
        <v>0</v>
      </c>
      <c r="BO98" s="43">
        <f t="shared" si="98"/>
        <v>0</v>
      </c>
      <c r="CA98" s="32"/>
      <c r="CB98" s="45" t="str">
        <f>B98</f>
        <v xml:space="preserve">      CHECK #</v>
      </c>
      <c r="CC98" s="43">
        <f t="shared" ref="CC98:CO98" si="99">CC52-CC95</f>
        <v>0</v>
      </c>
      <c r="CD98" s="43">
        <f t="shared" si="99"/>
        <v>0</v>
      </c>
      <c r="CE98" s="43">
        <f t="shared" si="99"/>
        <v>0</v>
      </c>
      <c r="CF98" s="43">
        <f t="shared" si="99"/>
        <v>0</v>
      </c>
      <c r="CG98" s="43">
        <f t="shared" si="99"/>
        <v>0</v>
      </c>
      <c r="CH98" s="43">
        <f t="shared" si="99"/>
        <v>0</v>
      </c>
      <c r="CI98" s="43">
        <f t="shared" si="99"/>
        <v>0</v>
      </c>
      <c r="CJ98" s="43">
        <f t="shared" si="99"/>
        <v>0</v>
      </c>
      <c r="CK98" s="43">
        <f t="shared" si="99"/>
        <v>2</v>
      </c>
      <c r="CL98" s="43">
        <f t="shared" si="99"/>
        <v>5</v>
      </c>
      <c r="CM98" s="43">
        <f t="shared" si="99"/>
        <v>11</v>
      </c>
      <c r="CN98" s="43">
        <f t="shared" si="99"/>
        <v>17</v>
      </c>
      <c r="CO98" s="43">
        <f t="shared" si="99"/>
        <v>16</v>
      </c>
      <c r="CP98" s="32"/>
    </row>
    <row r="99" spans="1:94" ht="8.1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</row>
    <row r="100" spans="1:94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</row>
    <row r="101" spans="1:94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</row>
    <row r="102" spans="1:94">
      <c r="A102" s="33" t="str">
        <f ca="1">A1</f>
        <v>C:\Users\Felienne\Enron\EnronSpreadsheets\[tracy_geaccone__40393__NNG3rdCECF.xls]BACKUP</v>
      </c>
      <c r="B102" s="29"/>
      <c r="C102" s="29"/>
      <c r="D102" s="29"/>
      <c r="E102" s="29"/>
      <c r="F102" s="152" t="str">
        <f>F1</f>
        <v>NORTHERN NATURAL GAS GROUP</v>
      </c>
      <c r="G102" s="152"/>
      <c r="H102" s="152"/>
      <c r="I102" s="152"/>
      <c r="J102" s="29"/>
      <c r="K102" s="29"/>
      <c r="L102" s="29"/>
      <c r="M102" s="29"/>
      <c r="N102" s="29"/>
      <c r="O102" s="29"/>
      <c r="P102" s="31">
        <f ca="1">NOW()</f>
        <v>41887.551206018521</v>
      </c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3" t="str">
        <f ca="1">A1</f>
        <v>C:\Users\Felienne\Enron\EnronSpreadsheets\[tracy_geaccone__40393__NNG3rdCECF.xls]BACKUP</v>
      </c>
      <c r="AB102" s="29"/>
      <c r="AC102" s="29"/>
      <c r="AD102" s="29"/>
      <c r="AE102" s="29"/>
      <c r="AF102" s="152" t="str">
        <f>AE1</f>
        <v>TRAILBLAZER &amp; OVERTHRUST PIPELINES</v>
      </c>
      <c r="AG102" s="152"/>
      <c r="AH102" s="152"/>
      <c r="AI102" s="152"/>
      <c r="AJ102" s="29"/>
      <c r="AK102" s="29"/>
      <c r="AL102" s="29"/>
      <c r="AM102" s="29"/>
      <c r="AN102" s="29"/>
      <c r="AO102" s="29"/>
      <c r="AP102" s="31">
        <f ca="1">NOW()</f>
        <v>41887.551206018521</v>
      </c>
      <c r="AQ102" s="32"/>
      <c r="AR102" s="32"/>
    </row>
    <row r="103" spans="1:94">
      <c r="A103" s="56" t="s">
        <v>251</v>
      </c>
      <c r="B103" s="29"/>
      <c r="C103" s="29"/>
      <c r="D103" s="29"/>
      <c r="E103" s="29"/>
      <c r="F103" s="154" t="s">
        <v>252</v>
      </c>
      <c r="G103" s="152"/>
      <c r="H103" s="152"/>
      <c r="I103" s="152"/>
      <c r="J103" s="29"/>
      <c r="K103" s="29"/>
      <c r="L103" s="29"/>
      <c r="M103" s="29"/>
      <c r="N103" s="29"/>
      <c r="O103" s="29"/>
      <c r="P103" s="36">
        <f ca="1">NOW()</f>
        <v>41887.551206018521</v>
      </c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56" t="s">
        <v>253</v>
      </c>
      <c r="AB103" s="29"/>
      <c r="AC103" s="29"/>
      <c r="AD103" s="29"/>
      <c r="AE103" s="29"/>
      <c r="AF103" s="154" t="s">
        <v>252</v>
      </c>
      <c r="AG103" s="152"/>
      <c r="AH103" s="152"/>
      <c r="AI103" s="152"/>
      <c r="AJ103" s="29"/>
      <c r="AK103" s="29"/>
      <c r="AL103" s="29"/>
      <c r="AM103" s="29"/>
      <c r="AN103" s="29"/>
      <c r="AO103" s="29"/>
      <c r="AP103" s="36">
        <f ca="1">NOW()</f>
        <v>41887.551206018521</v>
      </c>
      <c r="AQ103" s="32"/>
      <c r="AR103" s="32"/>
      <c r="CC103" s="32"/>
      <c r="CD103" s="32"/>
      <c r="CE103" s="32"/>
      <c r="CF103" s="152"/>
      <c r="CG103" s="200"/>
      <c r="CH103" s="200"/>
      <c r="CI103" s="200"/>
      <c r="CJ103" s="32"/>
      <c r="CK103" s="32"/>
      <c r="CL103" s="32"/>
      <c r="CM103" s="32"/>
      <c r="CN103" s="32"/>
      <c r="CO103" s="32"/>
    </row>
    <row r="104" spans="1:94">
      <c r="A104" s="38"/>
      <c r="B104" s="29"/>
      <c r="C104" s="29"/>
      <c r="D104" s="29"/>
      <c r="E104" s="29"/>
      <c r="F104" s="152" t="str">
        <f>F3</f>
        <v>2001 ACTUAL / ESTIMATE</v>
      </c>
      <c r="G104" s="152"/>
      <c r="H104" s="152"/>
      <c r="I104" s="152"/>
      <c r="J104" s="29"/>
      <c r="K104" s="29"/>
      <c r="L104" s="29"/>
      <c r="M104" s="29"/>
      <c r="N104" s="29"/>
      <c r="O104" s="29"/>
      <c r="P104" s="29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8"/>
      <c r="AB104" s="29"/>
      <c r="AC104" s="29"/>
      <c r="AD104" s="29"/>
      <c r="AE104" s="29"/>
      <c r="AF104" s="152" t="str">
        <f>AF3</f>
        <v>2001 ACTUAL / ESTIMATE</v>
      </c>
      <c r="AG104" s="152"/>
      <c r="AH104" s="152"/>
      <c r="AI104" s="152"/>
      <c r="AJ104" s="29"/>
      <c r="AK104" s="29"/>
      <c r="AL104" s="29"/>
      <c r="AM104" s="29"/>
      <c r="AN104" s="29"/>
      <c r="AO104" s="29"/>
      <c r="AP104" s="29"/>
      <c r="AQ104" s="32"/>
      <c r="AR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</row>
    <row r="105" spans="1:94">
      <c r="A105" s="29"/>
      <c r="B105" s="29"/>
      <c r="C105" s="29"/>
      <c r="D105" s="29"/>
      <c r="E105" s="29"/>
      <c r="F105" s="152" t="str">
        <f>F4</f>
        <v>(Thousands of Dollars)</v>
      </c>
      <c r="G105" s="152"/>
      <c r="H105" s="152"/>
      <c r="I105" s="152"/>
      <c r="J105" s="29"/>
      <c r="K105" s="29"/>
      <c r="L105" s="29"/>
      <c r="M105" s="29"/>
      <c r="N105" s="29"/>
      <c r="O105" s="29"/>
      <c r="P105" s="29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29"/>
      <c r="AB105" s="29"/>
      <c r="AC105" s="29"/>
      <c r="AD105" s="29"/>
      <c r="AE105" s="29"/>
      <c r="AF105" s="152" t="str">
        <f>AF4</f>
        <v>(Thousands of Dollars)</v>
      </c>
      <c r="AG105" s="152"/>
      <c r="AH105" s="152"/>
      <c r="AI105" s="152"/>
      <c r="AJ105" s="29"/>
      <c r="AK105" s="29"/>
      <c r="AL105" s="29"/>
      <c r="AM105" s="29"/>
      <c r="AN105" s="29"/>
      <c r="AO105" s="29"/>
      <c r="AP105" s="29"/>
      <c r="AQ105" s="32"/>
      <c r="AR105" s="32"/>
      <c r="CC105" s="199"/>
      <c r="CD105" s="201"/>
      <c r="CE105" s="201"/>
      <c r="CF105" s="201"/>
      <c r="CG105" s="201"/>
      <c r="CH105" s="201"/>
      <c r="CI105" s="201"/>
      <c r="CJ105" s="201"/>
      <c r="CK105" s="201"/>
      <c r="CL105" s="201"/>
      <c r="CM105" s="201"/>
      <c r="CN105" s="201"/>
      <c r="CO105" s="201"/>
    </row>
    <row r="106" spans="1:94">
      <c r="A106" s="29"/>
      <c r="B106" s="29"/>
      <c r="C106" s="3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32"/>
      <c r="AR106" s="32"/>
    </row>
    <row r="107" spans="1:94">
      <c r="A107" s="29"/>
      <c r="B107" s="29"/>
      <c r="C107" s="39"/>
      <c r="D107" s="29"/>
      <c r="E107" s="29"/>
      <c r="F107" s="32"/>
      <c r="G107" s="39"/>
      <c r="H107" s="29"/>
      <c r="I107" s="29"/>
      <c r="J107" s="39"/>
      <c r="K107" s="29"/>
      <c r="L107" s="29"/>
      <c r="M107" s="29"/>
      <c r="N107" s="29"/>
      <c r="O107" s="29"/>
      <c r="P107" s="117" t="s">
        <v>254</v>
      </c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29"/>
      <c r="AB107" s="29"/>
      <c r="AC107" s="29"/>
      <c r="AD107" s="29"/>
      <c r="AE107" s="29"/>
      <c r="AF107" s="32"/>
      <c r="AG107" s="39"/>
      <c r="AH107" s="29"/>
      <c r="AI107" s="29"/>
      <c r="AJ107" s="29"/>
      <c r="AK107" s="29"/>
      <c r="AL107" s="29"/>
      <c r="AM107" s="29"/>
      <c r="AN107" s="29"/>
      <c r="AO107" s="29"/>
      <c r="AP107" s="117" t="s">
        <v>254</v>
      </c>
      <c r="AQ107" s="32"/>
      <c r="AR107" s="32"/>
    </row>
    <row r="108" spans="1:94">
      <c r="A108" s="29"/>
      <c r="B108" s="29"/>
      <c r="C108" s="40" t="str">
        <f t="shared" ref="C108:O108" si="100">C7</f>
        <v>ACTUAL</v>
      </c>
      <c r="D108" s="40" t="str">
        <f t="shared" si="100"/>
        <v>ACT.</v>
      </c>
      <c r="E108" s="40" t="str">
        <f t="shared" si="100"/>
        <v>ACT.</v>
      </c>
      <c r="F108" s="40" t="str">
        <f t="shared" si="100"/>
        <v>ACT.</v>
      </c>
      <c r="G108" s="40" t="str">
        <f t="shared" si="100"/>
        <v>ACT.</v>
      </c>
      <c r="H108" s="40" t="str">
        <f t="shared" si="100"/>
        <v>ACT.</v>
      </c>
      <c r="I108" s="40" t="str">
        <f t="shared" si="100"/>
        <v>ACT.</v>
      </c>
      <c r="J108" s="40" t="str">
        <f t="shared" si="100"/>
        <v>ACT.</v>
      </c>
      <c r="K108" s="40" t="str">
        <f t="shared" si="100"/>
        <v>ACT.</v>
      </c>
      <c r="L108" s="40" t="str">
        <f t="shared" si="100"/>
        <v>3rd CE</v>
      </c>
      <c r="M108" s="40" t="str">
        <f t="shared" si="100"/>
        <v>3rd CE</v>
      </c>
      <c r="N108" s="40" t="str">
        <f t="shared" si="100"/>
        <v>3rd CE</v>
      </c>
      <c r="O108" s="40" t="str">
        <f t="shared" si="100"/>
        <v>3rd CE</v>
      </c>
      <c r="P108" s="117" t="s">
        <v>255</v>
      </c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29"/>
      <c r="AB108" s="29"/>
      <c r="AC108" s="53" t="s">
        <v>181</v>
      </c>
      <c r="AD108" s="53" t="s">
        <v>181</v>
      </c>
      <c r="AE108" s="53" t="s">
        <v>181</v>
      </c>
      <c r="AF108" s="53" t="s">
        <v>181</v>
      </c>
      <c r="AG108" s="53" t="s">
        <v>181</v>
      </c>
      <c r="AH108" s="53" t="s">
        <v>181</v>
      </c>
      <c r="AI108" s="53" t="s">
        <v>181</v>
      </c>
      <c r="AJ108" s="53" t="s">
        <v>181</v>
      </c>
      <c r="AK108" s="53" t="s">
        <v>181</v>
      </c>
      <c r="AL108" s="53" t="s">
        <v>181</v>
      </c>
      <c r="AM108" s="53" t="s">
        <v>181</v>
      </c>
      <c r="AN108" s="53" t="s">
        <v>181</v>
      </c>
      <c r="AO108" s="53" t="s">
        <v>181</v>
      </c>
      <c r="AP108" s="117" t="s">
        <v>255</v>
      </c>
      <c r="AQ108" s="32"/>
      <c r="AR108" s="32"/>
    </row>
    <row r="109" spans="1:94">
      <c r="A109" s="29"/>
      <c r="B109" s="29"/>
      <c r="C109" s="41" t="str">
        <f t="shared" ref="C109:O109" si="101">C8</f>
        <v xml:space="preserve">BALANCE </v>
      </c>
      <c r="D109" s="41" t="str">
        <f t="shared" si="101"/>
        <v>JAN</v>
      </c>
      <c r="E109" s="41" t="str">
        <f t="shared" si="101"/>
        <v>FEB</v>
      </c>
      <c r="F109" s="41" t="str">
        <f t="shared" si="101"/>
        <v>MAR</v>
      </c>
      <c r="G109" s="41" t="str">
        <f t="shared" si="101"/>
        <v>APR</v>
      </c>
      <c r="H109" s="41" t="str">
        <f t="shared" si="101"/>
        <v>MAY</v>
      </c>
      <c r="I109" s="41" t="str">
        <f t="shared" si="101"/>
        <v>JUNE</v>
      </c>
      <c r="J109" s="41" t="str">
        <f t="shared" si="101"/>
        <v>JUL</v>
      </c>
      <c r="K109" s="41" t="str">
        <f t="shared" si="101"/>
        <v>AUG</v>
      </c>
      <c r="L109" s="41" t="str">
        <f t="shared" si="101"/>
        <v>SEP</v>
      </c>
      <c r="M109" s="41" t="str">
        <f t="shared" si="101"/>
        <v>OCT</v>
      </c>
      <c r="N109" s="41" t="str">
        <f t="shared" si="101"/>
        <v>NOV</v>
      </c>
      <c r="O109" s="41" t="str">
        <f t="shared" si="101"/>
        <v>DEC</v>
      </c>
      <c r="P109" s="40">
        <f>O9</f>
        <v>2001</v>
      </c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29"/>
      <c r="AB109" s="29"/>
      <c r="AC109" s="117" t="s">
        <v>19</v>
      </c>
      <c r="AD109" s="117" t="s">
        <v>8</v>
      </c>
      <c r="AE109" s="117" t="s">
        <v>9</v>
      </c>
      <c r="AF109" s="117" t="s">
        <v>10</v>
      </c>
      <c r="AG109" s="117" t="s">
        <v>11</v>
      </c>
      <c r="AH109" s="117" t="s">
        <v>12</v>
      </c>
      <c r="AI109" s="117" t="s">
        <v>182</v>
      </c>
      <c r="AJ109" s="117" t="s">
        <v>14</v>
      </c>
      <c r="AK109" s="117" t="s">
        <v>15</v>
      </c>
      <c r="AL109" s="117" t="s">
        <v>16</v>
      </c>
      <c r="AM109" s="117" t="s">
        <v>17</v>
      </c>
      <c r="AN109" s="117" t="s">
        <v>18</v>
      </c>
      <c r="AO109" s="117" t="s">
        <v>19</v>
      </c>
      <c r="AP109" s="117" t="s">
        <v>183</v>
      </c>
      <c r="AQ109" s="32"/>
      <c r="AR109" s="32"/>
    </row>
    <row r="110" spans="1:94">
      <c r="A110" s="29"/>
      <c r="B110" s="29"/>
      <c r="C110" s="42" t="str">
        <f t="shared" ref="C110:O110" si="102">C9</f>
        <v>12/31/00</v>
      </c>
      <c r="D110" s="42">
        <f t="shared" si="102"/>
        <v>2001</v>
      </c>
      <c r="E110" s="42">
        <f t="shared" si="102"/>
        <v>2001</v>
      </c>
      <c r="F110" s="42">
        <f t="shared" si="102"/>
        <v>2001</v>
      </c>
      <c r="G110" s="42">
        <f t="shared" si="102"/>
        <v>2001</v>
      </c>
      <c r="H110" s="42">
        <f t="shared" si="102"/>
        <v>2001</v>
      </c>
      <c r="I110" s="42">
        <f t="shared" si="102"/>
        <v>2001</v>
      </c>
      <c r="J110" s="42">
        <f t="shared" si="102"/>
        <v>2001</v>
      </c>
      <c r="K110" s="42">
        <f t="shared" si="102"/>
        <v>2001</v>
      </c>
      <c r="L110" s="42">
        <f t="shared" si="102"/>
        <v>2001</v>
      </c>
      <c r="M110" s="42">
        <f t="shared" si="102"/>
        <v>2001</v>
      </c>
      <c r="N110" s="42">
        <f t="shared" si="102"/>
        <v>2001</v>
      </c>
      <c r="O110" s="42">
        <f t="shared" si="102"/>
        <v>2001</v>
      </c>
      <c r="P110" s="52" t="s">
        <v>256</v>
      </c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29"/>
      <c r="AB110" s="29"/>
      <c r="AC110" s="155" t="s">
        <v>257</v>
      </c>
      <c r="AD110" s="155" t="s">
        <v>183</v>
      </c>
      <c r="AE110" s="155" t="s">
        <v>183</v>
      </c>
      <c r="AF110" s="155" t="s">
        <v>183</v>
      </c>
      <c r="AG110" s="155" t="s">
        <v>183</v>
      </c>
      <c r="AH110" s="155" t="s">
        <v>183</v>
      </c>
      <c r="AI110" s="155" t="s">
        <v>183</v>
      </c>
      <c r="AJ110" s="155" t="s">
        <v>183</v>
      </c>
      <c r="AK110" s="155" t="s">
        <v>183</v>
      </c>
      <c r="AL110" s="155" t="s">
        <v>183</v>
      </c>
      <c r="AM110" s="155" t="s">
        <v>183</v>
      </c>
      <c r="AN110" s="155" t="s">
        <v>183</v>
      </c>
      <c r="AO110" s="155" t="s">
        <v>183</v>
      </c>
      <c r="AP110" s="155" t="s">
        <v>258</v>
      </c>
      <c r="AQ110" s="32"/>
      <c r="AR110" s="32"/>
    </row>
    <row r="111" spans="1:94" ht="6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</row>
    <row r="112" spans="1:94">
      <c r="A112" s="29"/>
      <c r="B112" s="30" t="s">
        <v>259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29"/>
      <c r="AB112" s="30" t="s">
        <v>259</v>
      </c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32"/>
      <c r="AQ112" s="32"/>
      <c r="AR112" s="32"/>
    </row>
    <row r="113" spans="1:44">
      <c r="A113" s="29"/>
      <c r="B113" s="30" t="s">
        <v>260</v>
      </c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29"/>
      <c r="AB113" s="30" t="s">
        <v>260</v>
      </c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</row>
    <row r="114" spans="1:44">
      <c r="A114" s="32"/>
      <c r="B114" s="45" t="s">
        <v>261</v>
      </c>
      <c r="C114" s="43">
        <f t="shared" ref="C114:O114" si="103">C12</f>
        <v>53</v>
      </c>
      <c r="D114" s="43">
        <f t="shared" si="103"/>
        <v>53</v>
      </c>
      <c r="E114" s="43">
        <f t="shared" si="103"/>
        <v>53</v>
      </c>
      <c r="F114" s="43">
        <f t="shared" si="103"/>
        <v>53</v>
      </c>
      <c r="G114" s="43">
        <f t="shared" si="103"/>
        <v>53</v>
      </c>
      <c r="H114" s="43">
        <f t="shared" si="103"/>
        <v>53</v>
      </c>
      <c r="I114" s="43">
        <f t="shared" si="103"/>
        <v>53</v>
      </c>
      <c r="J114" s="43">
        <f t="shared" si="103"/>
        <v>53</v>
      </c>
      <c r="K114" s="43">
        <f t="shared" si="103"/>
        <v>53</v>
      </c>
      <c r="L114" s="43">
        <f t="shared" si="103"/>
        <v>53</v>
      </c>
      <c r="M114" s="43">
        <f t="shared" si="103"/>
        <v>53</v>
      </c>
      <c r="N114" s="43">
        <f t="shared" si="103"/>
        <v>53</v>
      </c>
      <c r="O114" s="43">
        <f t="shared" si="103"/>
        <v>53</v>
      </c>
      <c r="P114" s="43">
        <f t="shared" ref="P114:P121" si="104">ROUND(SUM(C114:O114)/13,0)</f>
        <v>53</v>
      </c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45" t="s">
        <v>261</v>
      </c>
      <c r="AC114" s="43">
        <f t="shared" ref="AC114:AO114" si="105">AC12</f>
        <v>0</v>
      </c>
      <c r="AD114" s="43">
        <f t="shared" si="105"/>
        <v>0</v>
      </c>
      <c r="AE114" s="43">
        <f t="shared" si="105"/>
        <v>0</v>
      </c>
      <c r="AF114" s="43">
        <f t="shared" si="105"/>
        <v>0</v>
      </c>
      <c r="AG114" s="43">
        <f t="shared" si="105"/>
        <v>0</v>
      </c>
      <c r="AH114" s="43">
        <f t="shared" si="105"/>
        <v>0</v>
      </c>
      <c r="AI114" s="43">
        <f t="shared" si="105"/>
        <v>0</v>
      </c>
      <c r="AJ114" s="43">
        <f t="shared" si="105"/>
        <v>0</v>
      </c>
      <c r="AK114" s="43">
        <f t="shared" si="105"/>
        <v>0</v>
      </c>
      <c r="AL114" s="43">
        <f t="shared" si="105"/>
        <v>0</v>
      </c>
      <c r="AM114" s="43">
        <f t="shared" si="105"/>
        <v>0</v>
      </c>
      <c r="AN114" s="43">
        <f t="shared" si="105"/>
        <v>0</v>
      </c>
      <c r="AO114" s="43">
        <f t="shared" si="105"/>
        <v>0</v>
      </c>
      <c r="AP114" s="43">
        <f t="shared" ref="AP114:AP121" si="106">ROUND(SUM(AC114:AO114)/13,0)</f>
        <v>0</v>
      </c>
      <c r="AQ114" s="32"/>
      <c r="AR114" s="32"/>
    </row>
    <row r="115" spans="1:44">
      <c r="A115" s="32"/>
      <c r="B115" s="45" t="s">
        <v>262</v>
      </c>
      <c r="C115" s="43">
        <f t="shared" ref="C115:O115" si="107">C13</f>
        <v>40542</v>
      </c>
      <c r="D115" s="43">
        <f t="shared" si="107"/>
        <v>44439</v>
      </c>
      <c r="E115" s="43">
        <f t="shared" si="107"/>
        <v>41453</v>
      </c>
      <c r="F115" s="43">
        <f t="shared" si="107"/>
        <v>57404</v>
      </c>
      <c r="G115" s="43">
        <f t="shared" si="107"/>
        <v>40956</v>
      </c>
      <c r="H115" s="43">
        <f t="shared" si="107"/>
        <v>30453</v>
      </c>
      <c r="I115" s="43">
        <f t="shared" si="107"/>
        <v>36741</v>
      </c>
      <c r="J115" s="43">
        <f t="shared" si="107"/>
        <v>29898</v>
      </c>
      <c r="K115" s="43">
        <f t="shared" si="107"/>
        <v>29869</v>
      </c>
      <c r="L115" s="43">
        <f t="shared" si="107"/>
        <v>28120</v>
      </c>
      <c r="M115" s="43">
        <f t="shared" si="107"/>
        <v>27501</v>
      </c>
      <c r="N115" s="43">
        <f t="shared" si="107"/>
        <v>56488</v>
      </c>
      <c r="O115" s="43">
        <f t="shared" si="107"/>
        <v>57686</v>
      </c>
      <c r="P115" s="43">
        <f t="shared" si="104"/>
        <v>40119</v>
      </c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45" t="s">
        <v>262</v>
      </c>
      <c r="AC115" s="43">
        <f t="shared" ref="AC115:AO115" si="108">AC13</f>
        <v>0</v>
      </c>
      <c r="AD115" s="43">
        <f t="shared" si="108"/>
        <v>0</v>
      </c>
      <c r="AE115" s="43">
        <f t="shared" si="108"/>
        <v>0</v>
      </c>
      <c r="AF115" s="43">
        <f t="shared" si="108"/>
        <v>0</v>
      </c>
      <c r="AG115" s="43">
        <f t="shared" si="108"/>
        <v>0</v>
      </c>
      <c r="AH115" s="43">
        <f t="shared" si="108"/>
        <v>0</v>
      </c>
      <c r="AI115" s="43">
        <f t="shared" si="108"/>
        <v>0</v>
      </c>
      <c r="AJ115" s="43">
        <f t="shared" si="108"/>
        <v>0</v>
      </c>
      <c r="AK115" s="43">
        <f t="shared" si="108"/>
        <v>0</v>
      </c>
      <c r="AL115" s="43">
        <f t="shared" si="108"/>
        <v>0</v>
      </c>
      <c r="AM115" s="43">
        <f t="shared" si="108"/>
        <v>0</v>
      </c>
      <c r="AN115" s="43">
        <f t="shared" si="108"/>
        <v>0</v>
      </c>
      <c r="AO115" s="43">
        <f t="shared" si="108"/>
        <v>0</v>
      </c>
      <c r="AP115" s="43">
        <f t="shared" si="106"/>
        <v>0</v>
      </c>
      <c r="AQ115" s="32"/>
      <c r="AR115" s="32"/>
    </row>
    <row r="116" spans="1:44">
      <c r="A116" s="32"/>
      <c r="B116" s="55" t="s">
        <v>263</v>
      </c>
      <c r="C116" s="43">
        <f>C14+C15</f>
        <v>323157</v>
      </c>
      <c r="D116" s="43">
        <f t="shared" ref="D116:O116" si="109">D14+D15</f>
        <v>354521</v>
      </c>
      <c r="E116" s="43">
        <f t="shared" si="109"/>
        <v>325427</v>
      </c>
      <c r="F116" s="43">
        <f t="shared" si="109"/>
        <v>333719</v>
      </c>
      <c r="G116" s="43">
        <f t="shared" si="109"/>
        <v>381176</v>
      </c>
      <c r="H116" s="43">
        <f t="shared" si="109"/>
        <v>394521</v>
      </c>
      <c r="I116" s="43">
        <f t="shared" si="109"/>
        <v>392128</v>
      </c>
      <c r="J116" s="43">
        <f t="shared" si="109"/>
        <v>403145</v>
      </c>
      <c r="K116" s="43">
        <f t="shared" si="109"/>
        <v>415159</v>
      </c>
      <c r="L116" s="43">
        <f t="shared" si="109"/>
        <v>409759</v>
      </c>
      <c r="M116" s="43">
        <f t="shared" si="109"/>
        <v>393159</v>
      </c>
      <c r="N116" s="43">
        <f t="shared" si="109"/>
        <v>371159</v>
      </c>
      <c r="O116" s="43">
        <f t="shared" si="109"/>
        <v>356859</v>
      </c>
      <c r="P116" s="43">
        <f t="shared" si="104"/>
        <v>373376</v>
      </c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55" t="s">
        <v>263</v>
      </c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32"/>
      <c r="AR116" s="32"/>
    </row>
    <row r="117" spans="1:44">
      <c r="A117" s="32"/>
      <c r="B117" s="45" t="s">
        <v>264</v>
      </c>
      <c r="C117" s="43">
        <f t="shared" ref="C117:O117" si="110">C17+C18</f>
        <v>5865</v>
      </c>
      <c r="D117" s="43">
        <f t="shared" si="110"/>
        <v>5860</v>
      </c>
      <c r="E117" s="43">
        <f t="shared" si="110"/>
        <v>5857</v>
      </c>
      <c r="F117" s="43">
        <f t="shared" si="110"/>
        <v>4596</v>
      </c>
      <c r="G117" s="43">
        <f t="shared" si="110"/>
        <v>4586</v>
      </c>
      <c r="H117" s="43">
        <f t="shared" si="110"/>
        <v>4389</v>
      </c>
      <c r="I117" s="43">
        <f t="shared" si="110"/>
        <v>4372</v>
      </c>
      <c r="J117" s="43">
        <f t="shared" si="110"/>
        <v>4373</v>
      </c>
      <c r="K117" s="43">
        <f t="shared" si="110"/>
        <v>4373</v>
      </c>
      <c r="L117" s="43">
        <f t="shared" si="110"/>
        <v>4373</v>
      </c>
      <c r="M117" s="43">
        <f t="shared" si="110"/>
        <v>4373</v>
      </c>
      <c r="N117" s="43">
        <f t="shared" si="110"/>
        <v>4373</v>
      </c>
      <c r="O117" s="43">
        <f t="shared" si="110"/>
        <v>4373</v>
      </c>
      <c r="P117" s="43">
        <f t="shared" si="104"/>
        <v>4751</v>
      </c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45" t="s">
        <v>264</v>
      </c>
      <c r="AC117" s="43">
        <f t="shared" ref="AC117:AO117" si="111">AC17+AC18</f>
        <v>0</v>
      </c>
      <c r="AD117" s="43">
        <f t="shared" si="111"/>
        <v>0</v>
      </c>
      <c r="AE117" s="43">
        <f t="shared" si="111"/>
        <v>0</v>
      </c>
      <c r="AF117" s="43">
        <f t="shared" si="111"/>
        <v>0</v>
      </c>
      <c r="AG117" s="43">
        <f t="shared" si="111"/>
        <v>0</v>
      </c>
      <c r="AH117" s="43">
        <f t="shared" si="111"/>
        <v>0</v>
      </c>
      <c r="AI117" s="43">
        <f t="shared" si="111"/>
        <v>0</v>
      </c>
      <c r="AJ117" s="43">
        <f t="shared" si="111"/>
        <v>0</v>
      </c>
      <c r="AK117" s="43">
        <f t="shared" si="111"/>
        <v>0</v>
      </c>
      <c r="AL117" s="43">
        <f t="shared" si="111"/>
        <v>0</v>
      </c>
      <c r="AM117" s="43">
        <f t="shared" si="111"/>
        <v>0</v>
      </c>
      <c r="AN117" s="43">
        <f t="shared" si="111"/>
        <v>0</v>
      </c>
      <c r="AO117" s="43">
        <f t="shared" si="111"/>
        <v>0</v>
      </c>
      <c r="AP117" s="43">
        <f t="shared" si="106"/>
        <v>0</v>
      </c>
      <c r="AQ117" s="32"/>
      <c r="AR117" s="32"/>
    </row>
    <row r="118" spans="1:44">
      <c r="A118" s="32"/>
      <c r="B118" s="45" t="s">
        <v>265</v>
      </c>
      <c r="C118" s="43">
        <f t="shared" ref="C118:O118" si="112">C19-C62+C20+C21+C24</f>
        <v>11418</v>
      </c>
      <c r="D118" s="43">
        <f t="shared" si="112"/>
        <v>-19335</v>
      </c>
      <c r="E118" s="43">
        <f t="shared" si="112"/>
        <v>-11261</v>
      </c>
      <c r="F118" s="43">
        <f t="shared" si="112"/>
        <v>-10418</v>
      </c>
      <c r="G118" s="43">
        <f t="shared" si="112"/>
        <v>-16566</v>
      </c>
      <c r="H118" s="43">
        <f t="shared" si="112"/>
        <v>-13182</v>
      </c>
      <c r="I118" s="43">
        <f t="shared" si="112"/>
        <v>-9034</v>
      </c>
      <c r="J118" s="43">
        <f t="shared" si="112"/>
        <v>-2993</v>
      </c>
      <c r="K118" s="43">
        <f t="shared" si="112"/>
        <v>-2993</v>
      </c>
      <c r="L118" s="43">
        <f t="shared" si="112"/>
        <v>-2993</v>
      </c>
      <c r="M118" s="43">
        <f t="shared" si="112"/>
        <v>-2993</v>
      </c>
      <c r="N118" s="43">
        <f t="shared" si="112"/>
        <v>-2993</v>
      </c>
      <c r="O118" s="43">
        <f t="shared" si="112"/>
        <v>-1913</v>
      </c>
      <c r="P118" s="43">
        <f t="shared" si="104"/>
        <v>-6558</v>
      </c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45" t="s">
        <v>265</v>
      </c>
      <c r="AC118" s="43">
        <f t="shared" ref="AC118:AO118" si="113">AC19-AC62+AC20+AC21+AC24</f>
        <v>0</v>
      </c>
      <c r="AD118" s="43">
        <f t="shared" si="113"/>
        <v>0</v>
      </c>
      <c r="AE118" s="43">
        <f t="shared" si="113"/>
        <v>0</v>
      </c>
      <c r="AF118" s="43">
        <f t="shared" si="113"/>
        <v>0</v>
      </c>
      <c r="AG118" s="43">
        <f t="shared" si="113"/>
        <v>0</v>
      </c>
      <c r="AH118" s="43">
        <f t="shared" si="113"/>
        <v>0</v>
      </c>
      <c r="AI118" s="43">
        <f t="shared" si="113"/>
        <v>0</v>
      </c>
      <c r="AJ118" s="43">
        <f t="shared" si="113"/>
        <v>0</v>
      </c>
      <c r="AK118" s="43">
        <f t="shared" si="113"/>
        <v>0</v>
      </c>
      <c r="AL118" s="43">
        <f t="shared" si="113"/>
        <v>0</v>
      </c>
      <c r="AM118" s="43">
        <f t="shared" si="113"/>
        <v>0</v>
      </c>
      <c r="AN118" s="43">
        <f t="shared" si="113"/>
        <v>0</v>
      </c>
      <c r="AO118" s="43">
        <f t="shared" si="113"/>
        <v>0</v>
      </c>
      <c r="AP118" s="43">
        <f t="shared" si="106"/>
        <v>0</v>
      </c>
      <c r="AQ118" s="32"/>
      <c r="AR118" s="32"/>
    </row>
    <row r="119" spans="1:44">
      <c r="A119" s="32"/>
      <c r="B119" s="45" t="s">
        <v>266</v>
      </c>
      <c r="C119" s="43">
        <f t="shared" ref="C119:O119" si="114">C40</f>
        <v>1301029</v>
      </c>
      <c r="D119" s="43">
        <f t="shared" si="114"/>
        <v>1343063</v>
      </c>
      <c r="E119" s="43">
        <f t="shared" si="114"/>
        <v>1349490</v>
      </c>
      <c r="F119" s="43">
        <f t="shared" si="114"/>
        <v>1348147</v>
      </c>
      <c r="G119" s="43">
        <f t="shared" si="114"/>
        <v>1339442</v>
      </c>
      <c r="H119" s="43">
        <f t="shared" si="114"/>
        <v>1333049</v>
      </c>
      <c r="I119" s="43">
        <f t="shared" si="114"/>
        <v>1325364</v>
      </c>
      <c r="J119" s="43">
        <f t="shared" si="114"/>
        <v>1324110</v>
      </c>
      <c r="K119" s="43">
        <f t="shared" si="114"/>
        <v>1328806</v>
      </c>
      <c r="L119" s="43">
        <f t="shared" si="114"/>
        <v>1336361</v>
      </c>
      <c r="M119" s="43">
        <f t="shared" si="114"/>
        <v>1340177</v>
      </c>
      <c r="N119" s="43">
        <f t="shared" si="114"/>
        <v>1345241</v>
      </c>
      <c r="O119" s="43">
        <f t="shared" si="114"/>
        <v>1345866</v>
      </c>
      <c r="P119" s="43">
        <f t="shared" si="104"/>
        <v>1335396</v>
      </c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45" t="s">
        <v>266</v>
      </c>
      <c r="AC119" s="43">
        <f t="shared" ref="AC119:AO119" si="115">AC40</f>
        <v>0</v>
      </c>
      <c r="AD119" s="43">
        <f t="shared" si="115"/>
        <v>0</v>
      </c>
      <c r="AE119" s="43">
        <f t="shared" si="115"/>
        <v>0</v>
      </c>
      <c r="AF119" s="43">
        <f t="shared" si="115"/>
        <v>0</v>
      </c>
      <c r="AG119" s="43">
        <f t="shared" si="115"/>
        <v>0</v>
      </c>
      <c r="AH119" s="43">
        <f t="shared" si="115"/>
        <v>0</v>
      </c>
      <c r="AI119" s="43">
        <f t="shared" si="115"/>
        <v>0</v>
      </c>
      <c r="AJ119" s="43">
        <f t="shared" si="115"/>
        <v>0</v>
      </c>
      <c r="AK119" s="43">
        <f t="shared" si="115"/>
        <v>0</v>
      </c>
      <c r="AL119" s="43">
        <f t="shared" si="115"/>
        <v>0</v>
      </c>
      <c r="AM119" s="43">
        <f t="shared" si="115"/>
        <v>0</v>
      </c>
      <c r="AN119" s="43">
        <f t="shared" si="115"/>
        <v>0</v>
      </c>
      <c r="AO119" s="43">
        <f t="shared" si="115"/>
        <v>0</v>
      </c>
      <c r="AP119" s="43">
        <f t="shared" si="106"/>
        <v>0</v>
      </c>
      <c r="AQ119" s="32"/>
      <c r="AR119" s="32"/>
    </row>
    <row r="120" spans="1:44">
      <c r="A120" s="32"/>
      <c r="B120" s="45" t="s">
        <v>267</v>
      </c>
      <c r="C120" s="43">
        <f t="shared" ref="C120:O120" si="116">C34</f>
        <v>80795</v>
      </c>
      <c r="D120" s="43">
        <f t="shared" si="116"/>
        <v>87062</v>
      </c>
      <c r="E120" s="43">
        <f t="shared" si="116"/>
        <v>93654</v>
      </c>
      <c r="F120" s="43">
        <f t="shared" si="116"/>
        <v>90490</v>
      </c>
      <c r="G120" s="43">
        <f t="shared" si="116"/>
        <v>93286</v>
      </c>
      <c r="H120" s="43">
        <f t="shared" si="116"/>
        <v>81697</v>
      </c>
      <c r="I120" s="43">
        <f t="shared" si="116"/>
        <v>64629</v>
      </c>
      <c r="J120" s="43">
        <f t="shared" si="116"/>
        <v>63112</v>
      </c>
      <c r="K120" s="43">
        <f t="shared" si="116"/>
        <v>61354</v>
      </c>
      <c r="L120" s="43">
        <f t="shared" si="116"/>
        <v>60850</v>
      </c>
      <c r="M120" s="43">
        <f t="shared" si="116"/>
        <v>61147</v>
      </c>
      <c r="N120" s="43">
        <f t="shared" si="116"/>
        <v>61461</v>
      </c>
      <c r="O120" s="43">
        <f t="shared" si="116"/>
        <v>60649</v>
      </c>
      <c r="P120" s="43">
        <f t="shared" si="104"/>
        <v>73860</v>
      </c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45" t="s">
        <v>267</v>
      </c>
      <c r="AC120" s="43">
        <f t="shared" ref="AC120:AO120" si="117">AC34</f>
        <v>48163</v>
      </c>
      <c r="AD120" s="43">
        <f t="shared" si="117"/>
        <v>48660</v>
      </c>
      <c r="AE120" s="43">
        <f t="shared" si="117"/>
        <v>48961</v>
      </c>
      <c r="AF120" s="43">
        <f t="shared" si="117"/>
        <v>48445</v>
      </c>
      <c r="AG120" s="43">
        <f t="shared" si="117"/>
        <v>49702</v>
      </c>
      <c r="AH120" s="43">
        <f t="shared" si="117"/>
        <v>49991</v>
      </c>
      <c r="AI120" s="43">
        <f t="shared" si="117"/>
        <v>46599</v>
      </c>
      <c r="AJ120" s="43">
        <f t="shared" si="117"/>
        <v>46906</v>
      </c>
      <c r="AK120" s="43">
        <f t="shared" si="117"/>
        <v>45148</v>
      </c>
      <c r="AL120" s="43">
        <f t="shared" si="117"/>
        <v>44644</v>
      </c>
      <c r="AM120" s="43">
        <f t="shared" si="117"/>
        <v>44941</v>
      </c>
      <c r="AN120" s="43">
        <f t="shared" si="117"/>
        <v>45255</v>
      </c>
      <c r="AO120" s="43">
        <f t="shared" si="117"/>
        <v>44443</v>
      </c>
      <c r="AP120" s="43">
        <f t="shared" si="106"/>
        <v>47066</v>
      </c>
      <c r="AQ120" s="32"/>
      <c r="AR120" s="32"/>
    </row>
    <row r="121" spans="1:44">
      <c r="A121" s="32"/>
      <c r="B121" s="45" t="s">
        <v>268</v>
      </c>
      <c r="C121" s="47">
        <f t="shared" ref="C121:O121" si="118">C49+C23</f>
        <v>214713</v>
      </c>
      <c r="D121" s="47">
        <f t="shared" si="118"/>
        <v>216726</v>
      </c>
      <c r="E121" s="47">
        <f t="shared" si="118"/>
        <v>214855</v>
      </c>
      <c r="F121" s="47">
        <f t="shared" si="118"/>
        <v>213621</v>
      </c>
      <c r="G121" s="47">
        <f t="shared" si="118"/>
        <v>212327</v>
      </c>
      <c r="H121" s="47">
        <f t="shared" si="118"/>
        <v>208259</v>
      </c>
      <c r="I121" s="47">
        <f t="shared" si="118"/>
        <v>205679</v>
      </c>
      <c r="J121" s="47">
        <f t="shared" si="118"/>
        <v>202958</v>
      </c>
      <c r="K121" s="47">
        <f t="shared" si="118"/>
        <v>202619</v>
      </c>
      <c r="L121" s="47">
        <f t="shared" si="118"/>
        <v>202200</v>
      </c>
      <c r="M121" s="47">
        <f t="shared" si="118"/>
        <v>201884</v>
      </c>
      <c r="N121" s="47">
        <f t="shared" si="118"/>
        <v>200895</v>
      </c>
      <c r="O121" s="47">
        <f t="shared" si="118"/>
        <v>209913</v>
      </c>
      <c r="P121" s="47">
        <f t="shared" si="104"/>
        <v>208204</v>
      </c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45" t="s">
        <v>268</v>
      </c>
      <c r="AC121" s="47">
        <f t="shared" ref="AC121:AO121" si="119">AC49+AC23</f>
        <v>0</v>
      </c>
      <c r="AD121" s="47">
        <f t="shared" si="119"/>
        <v>0</v>
      </c>
      <c r="AE121" s="47">
        <f t="shared" si="119"/>
        <v>0</v>
      </c>
      <c r="AF121" s="47">
        <f t="shared" si="119"/>
        <v>0</v>
      </c>
      <c r="AG121" s="47">
        <f t="shared" si="119"/>
        <v>0</v>
      </c>
      <c r="AH121" s="47">
        <f t="shared" si="119"/>
        <v>0</v>
      </c>
      <c r="AI121" s="47">
        <f t="shared" si="119"/>
        <v>0</v>
      </c>
      <c r="AJ121" s="47">
        <f t="shared" si="119"/>
        <v>0</v>
      </c>
      <c r="AK121" s="47">
        <f t="shared" si="119"/>
        <v>0</v>
      </c>
      <c r="AL121" s="47">
        <f t="shared" si="119"/>
        <v>0</v>
      </c>
      <c r="AM121" s="47">
        <f t="shared" si="119"/>
        <v>0</v>
      </c>
      <c r="AN121" s="47">
        <f t="shared" si="119"/>
        <v>0</v>
      </c>
      <c r="AO121" s="47">
        <f t="shared" si="119"/>
        <v>0</v>
      </c>
      <c r="AP121" s="47">
        <f t="shared" si="106"/>
        <v>0</v>
      </c>
      <c r="AQ121" s="32"/>
      <c r="AR121" s="32"/>
    </row>
    <row r="122" spans="1:44" ht="3.9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</row>
    <row r="123" spans="1:44">
      <c r="A123" s="29"/>
      <c r="B123" s="30" t="s">
        <v>269</v>
      </c>
      <c r="C123" s="47">
        <f t="shared" ref="C123:P123" si="120">SUM(C114:C122)</f>
        <v>1977572</v>
      </c>
      <c r="D123" s="47">
        <f t="shared" si="120"/>
        <v>2032389</v>
      </c>
      <c r="E123" s="47">
        <f t="shared" si="120"/>
        <v>2019528</v>
      </c>
      <c r="F123" s="47">
        <f t="shared" si="120"/>
        <v>2037612</v>
      </c>
      <c r="G123" s="47">
        <f t="shared" si="120"/>
        <v>2055260</v>
      </c>
      <c r="H123" s="47">
        <f t="shared" si="120"/>
        <v>2039239</v>
      </c>
      <c r="I123" s="47">
        <f t="shared" si="120"/>
        <v>2019932</v>
      </c>
      <c r="J123" s="47">
        <f t="shared" si="120"/>
        <v>2024656</v>
      </c>
      <c r="K123" s="47">
        <f t="shared" si="120"/>
        <v>2039240</v>
      </c>
      <c r="L123" s="47">
        <f t="shared" si="120"/>
        <v>2038723</v>
      </c>
      <c r="M123" s="47">
        <f t="shared" si="120"/>
        <v>2025301</v>
      </c>
      <c r="N123" s="47">
        <f t="shared" si="120"/>
        <v>2036677</v>
      </c>
      <c r="O123" s="47">
        <f t="shared" si="120"/>
        <v>2033486</v>
      </c>
      <c r="P123" s="47">
        <f t="shared" si="120"/>
        <v>2029201</v>
      </c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29"/>
      <c r="AB123" s="30" t="s">
        <v>269</v>
      </c>
      <c r="AC123" s="47">
        <f t="shared" ref="AC123:AP123" si="121">SUM(AC114:AC122)</f>
        <v>48163</v>
      </c>
      <c r="AD123" s="47">
        <f t="shared" si="121"/>
        <v>48660</v>
      </c>
      <c r="AE123" s="47">
        <f t="shared" si="121"/>
        <v>48961</v>
      </c>
      <c r="AF123" s="47">
        <f t="shared" si="121"/>
        <v>48445</v>
      </c>
      <c r="AG123" s="47">
        <f t="shared" si="121"/>
        <v>49702</v>
      </c>
      <c r="AH123" s="47">
        <f t="shared" si="121"/>
        <v>49991</v>
      </c>
      <c r="AI123" s="47">
        <f t="shared" si="121"/>
        <v>46599</v>
      </c>
      <c r="AJ123" s="47">
        <f t="shared" si="121"/>
        <v>46906</v>
      </c>
      <c r="AK123" s="47">
        <f t="shared" si="121"/>
        <v>45148</v>
      </c>
      <c r="AL123" s="47">
        <f t="shared" si="121"/>
        <v>44644</v>
      </c>
      <c r="AM123" s="47">
        <f t="shared" si="121"/>
        <v>44941</v>
      </c>
      <c r="AN123" s="47">
        <f t="shared" si="121"/>
        <v>45255</v>
      </c>
      <c r="AO123" s="47">
        <f t="shared" si="121"/>
        <v>44443</v>
      </c>
      <c r="AP123" s="47">
        <f t="shared" si="121"/>
        <v>47066</v>
      </c>
      <c r="AQ123" s="32"/>
      <c r="AR123" s="32"/>
    </row>
    <row r="124" spans="1:4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</row>
    <row r="125" spans="1:44">
      <c r="A125" s="29"/>
      <c r="B125" s="30" t="s">
        <v>270</v>
      </c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29"/>
      <c r="AB125" s="30" t="s">
        <v>270</v>
      </c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</row>
    <row r="126" spans="1:44">
      <c r="A126" s="29"/>
      <c r="B126" s="30" t="s">
        <v>271</v>
      </c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29"/>
      <c r="AB126" s="30" t="s">
        <v>271</v>
      </c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32"/>
      <c r="AQ126" s="32"/>
      <c r="AR126" s="32"/>
    </row>
    <row r="127" spans="1:44">
      <c r="A127" s="32"/>
      <c r="B127" s="45" t="s">
        <v>272</v>
      </c>
      <c r="C127" s="43">
        <f>C59+C60</f>
        <v>31722</v>
      </c>
      <c r="D127" s="43">
        <f t="shared" ref="D127:O127" si="122">D59+D60</f>
        <v>52229</v>
      </c>
      <c r="E127" s="43">
        <f t="shared" si="122"/>
        <v>12858</v>
      </c>
      <c r="F127" s="43">
        <f t="shared" si="122"/>
        <v>24601</v>
      </c>
      <c r="G127" s="43">
        <f t="shared" si="122"/>
        <v>10969</v>
      </c>
      <c r="H127" s="43">
        <f t="shared" si="122"/>
        <v>10668</v>
      </c>
      <c r="I127" s="43">
        <f t="shared" si="122"/>
        <v>12070</v>
      </c>
      <c r="J127" s="43">
        <f t="shared" si="122"/>
        <v>13366</v>
      </c>
      <c r="K127" s="43">
        <f t="shared" si="122"/>
        <v>17125</v>
      </c>
      <c r="L127" s="43">
        <f t="shared" si="122"/>
        <v>19075</v>
      </c>
      <c r="M127" s="43">
        <f t="shared" si="122"/>
        <v>15080</v>
      </c>
      <c r="N127" s="43">
        <f t="shared" si="122"/>
        <v>9139</v>
      </c>
      <c r="O127" s="43">
        <f t="shared" si="122"/>
        <v>8008</v>
      </c>
      <c r="P127" s="43">
        <f>ROUND(SUM(C127:O127)/13,0)</f>
        <v>18224</v>
      </c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45" t="s">
        <v>272</v>
      </c>
      <c r="AC127" s="43" t="e">
        <f t="shared" ref="AC127:AO127" si="123">AC59+#REF!+AC60</f>
        <v>#REF!</v>
      </c>
      <c r="AD127" s="43" t="e">
        <f t="shared" si="123"/>
        <v>#REF!</v>
      </c>
      <c r="AE127" s="43" t="e">
        <f t="shared" si="123"/>
        <v>#REF!</v>
      </c>
      <c r="AF127" s="43" t="e">
        <f t="shared" si="123"/>
        <v>#REF!</v>
      </c>
      <c r="AG127" s="43" t="e">
        <f t="shared" si="123"/>
        <v>#REF!</v>
      </c>
      <c r="AH127" s="43" t="e">
        <f t="shared" si="123"/>
        <v>#REF!</v>
      </c>
      <c r="AI127" s="43" t="e">
        <f t="shared" si="123"/>
        <v>#REF!</v>
      </c>
      <c r="AJ127" s="43" t="e">
        <f t="shared" si="123"/>
        <v>#REF!</v>
      </c>
      <c r="AK127" s="43" t="e">
        <f t="shared" si="123"/>
        <v>#REF!</v>
      </c>
      <c r="AL127" s="43" t="e">
        <f t="shared" si="123"/>
        <v>#REF!</v>
      </c>
      <c r="AM127" s="43" t="e">
        <f t="shared" si="123"/>
        <v>#REF!</v>
      </c>
      <c r="AN127" s="43" t="e">
        <f t="shared" si="123"/>
        <v>#REF!</v>
      </c>
      <c r="AO127" s="43" t="e">
        <f t="shared" si="123"/>
        <v>#REF!</v>
      </c>
      <c r="AP127" s="43" t="e">
        <f>ROUND(SUM(AC127:AO127)/13,0)</f>
        <v>#REF!</v>
      </c>
      <c r="AQ127" s="32"/>
      <c r="AR127" s="32"/>
    </row>
    <row r="128" spans="1:44">
      <c r="A128" s="32"/>
      <c r="B128" s="45" t="s">
        <v>273</v>
      </c>
      <c r="C128" s="43">
        <f t="shared" ref="C128:O128" si="124">C63+C65</f>
        <v>31091</v>
      </c>
      <c r="D128" s="43">
        <f t="shared" si="124"/>
        <v>33071</v>
      </c>
      <c r="E128" s="43">
        <f t="shared" si="124"/>
        <v>40046</v>
      </c>
      <c r="F128" s="43">
        <f t="shared" si="124"/>
        <v>36441</v>
      </c>
      <c r="G128" s="43">
        <f t="shared" si="124"/>
        <v>41071</v>
      </c>
      <c r="H128" s="43">
        <f t="shared" si="124"/>
        <v>36887</v>
      </c>
      <c r="I128" s="43">
        <f t="shared" si="124"/>
        <v>29139</v>
      </c>
      <c r="J128" s="43">
        <f t="shared" si="124"/>
        <v>34407</v>
      </c>
      <c r="K128" s="43">
        <f t="shared" si="124"/>
        <v>39063</v>
      </c>
      <c r="L128" s="43">
        <f t="shared" si="124"/>
        <v>36318</v>
      </c>
      <c r="M128" s="43">
        <f t="shared" si="124"/>
        <v>39427</v>
      </c>
      <c r="N128" s="43">
        <f t="shared" si="124"/>
        <v>40748</v>
      </c>
      <c r="O128" s="43">
        <f t="shared" si="124"/>
        <v>32044</v>
      </c>
      <c r="P128" s="43">
        <f>ROUND(SUM(C128:O128)/13,0)</f>
        <v>36135</v>
      </c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45" t="s">
        <v>273</v>
      </c>
      <c r="AC128" s="43">
        <f t="shared" ref="AC128:AO128" si="125">AC63+AC65</f>
        <v>672</v>
      </c>
      <c r="AD128" s="43">
        <f t="shared" si="125"/>
        <v>672</v>
      </c>
      <c r="AE128" s="43">
        <f t="shared" si="125"/>
        <v>672</v>
      </c>
      <c r="AF128" s="43">
        <f t="shared" si="125"/>
        <v>672</v>
      </c>
      <c r="AG128" s="43">
        <f t="shared" si="125"/>
        <v>672</v>
      </c>
      <c r="AH128" s="43">
        <f t="shared" si="125"/>
        <v>672</v>
      </c>
      <c r="AI128" s="43">
        <f t="shared" si="125"/>
        <v>672</v>
      </c>
      <c r="AJ128" s="43">
        <f t="shared" si="125"/>
        <v>672</v>
      </c>
      <c r="AK128" s="43">
        <f t="shared" si="125"/>
        <v>672</v>
      </c>
      <c r="AL128" s="43">
        <f t="shared" si="125"/>
        <v>672</v>
      </c>
      <c r="AM128" s="43">
        <f t="shared" si="125"/>
        <v>672</v>
      </c>
      <c r="AN128" s="43">
        <f t="shared" si="125"/>
        <v>672</v>
      </c>
      <c r="AO128" s="43">
        <f t="shared" si="125"/>
        <v>672</v>
      </c>
      <c r="AP128" s="43">
        <f>ROUND(SUM(AC128:AO128)/13,0)</f>
        <v>672</v>
      </c>
      <c r="AQ128" s="32"/>
      <c r="AR128" s="32"/>
    </row>
    <row r="129" spans="1:44">
      <c r="A129" s="32"/>
      <c r="B129" s="45" t="s">
        <v>274</v>
      </c>
      <c r="C129" s="43">
        <f t="shared" ref="C129:O129" si="126">C64</f>
        <v>2374</v>
      </c>
      <c r="D129" s="43">
        <f t="shared" si="126"/>
        <v>2474</v>
      </c>
      <c r="E129" s="43">
        <f t="shared" si="126"/>
        <v>2476</v>
      </c>
      <c r="F129" s="43">
        <f t="shared" si="126"/>
        <v>2476</v>
      </c>
      <c r="G129" s="43">
        <f t="shared" si="126"/>
        <v>2477</v>
      </c>
      <c r="H129" s="43">
        <f t="shared" si="126"/>
        <v>2478</v>
      </c>
      <c r="I129" s="43">
        <f t="shared" si="126"/>
        <v>2478</v>
      </c>
      <c r="J129" s="43">
        <f t="shared" si="126"/>
        <v>2479</v>
      </c>
      <c r="K129" s="43">
        <f t="shared" si="126"/>
        <v>2479</v>
      </c>
      <c r="L129" s="43">
        <f t="shared" si="126"/>
        <v>2479</v>
      </c>
      <c r="M129" s="43">
        <f t="shared" si="126"/>
        <v>2479</v>
      </c>
      <c r="N129" s="43">
        <f t="shared" si="126"/>
        <v>2479</v>
      </c>
      <c r="O129" s="43">
        <f t="shared" si="126"/>
        <v>2479</v>
      </c>
      <c r="P129" s="43">
        <f>ROUND(SUM(C129:O129)/13,0)</f>
        <v>2470</v>
      </c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45" t="s">
        <v>274</v>
      </c>
      <c r="AC129" s="43">
        <f t="shared" ref="AC129:AO129" si="127">AC64</f>
        <v>0</v>
      </c>
      <c r="AD129" s="43">
        <f t="shared" si="127"/>
        <v>0</v>
      </c>
      <c r="AE129" s="43">
        <f t="shared" si="127"/>
        <v>0</v>
      </c>
      <c r="AF129" s="43">
        <f t="shared" si="127"/>
        <v>0</v>
      </c>
      <c r="AG129" s="43">
        <f t="shared" si="127"/>
        <v>0</v>
      </c>
      <c r="AH129" s="43">
        <f t="shared" si="127"/>
        <v>0</v>
      </c>
      <c r="AI129" s="43">
        <f t="shared" si="127"/>
        <v>0</v>
      </c>
      <c r="AJ129" s="43">
        <f t="shared" si="127"/>
        <v>0</v>
      </c>
      <c r="AK129" s="43">
        <f t="shared" si="127"/>
        <v>0</v>
      </c>
      <c r="AL129" s="43">
        <f t="shared" si="127"/>
        <v>0</v>
      </c>
      <c r="AM129" s="43">
        <f t="shared" si="127"/>
        <v>0</v>
      </c>
      <c r="AN129" s="43">
        <f t="shared" si="127"/>
        <v>0</v>
      </c>
      <c r="AO129" s="43">
        <f t="shared" si="127"/>
        <v>0</v>
      </c>
      <c r="AP129" s="43">
        <f>ROUND(SUM(AC129:AO129)/13,0)</f>
        <v>0</v>
      </c>
      <c r="AQ129" s="32"/>
      <c r="AR129" s="32"/>
    </row>
    <row r="130" spans="1:44">
      <c r="A130" s="32"/>
      <c r="B130" s="45" t="s">
        <v>275</v>
      </c>
      <c r="C130" s="43">
        <f t="shared" ref="C130:O130" si="128">C72</f>
        <v>289220</v>
      </c>
      <c r="D130" s="43">
        <f t="shared" si="128"/>
        <v>292382</v>
      </c>
      <c r="E130" s="43">
        <f t="shared" si="128"/>
        <v>292531</v>
      </c>
      <c r="F130" s="43">
        <f t="shared" si="128"/>
        <v>291319</v>
      </c>
      <c r="G130" s="43">
        <f t="shared" si="128"/>
        <v>314660</v>
      </c>
      <c r="H130" s="43">
        <f t="shared" si="128"/>
        <v>316234</v>
      </c>
      <c r="I130" s="43">
        <f t="shared" si="128"/>
        <v>313249</v>
      </c>
      <c r="J130" s="43">
        <f t="shared" si="128"/>
        <v>314108</v>
      </c>
      <c r="K130" s="43">
        <f t="shared" si="128"/>
        <v>317447</v>
      </c>
      <c r="L130" s="43">
        <f t="shared" si="128"/>
        <v>319654</v>
      </c>
      <c r="M130" s="43">
        <f t="shared" si="128"/>
        <v>307840</v>
      </c>
      <c r="N130" s="43">
        <f t="shared" si="128"/>
        <v>306519</v>
      </c>
      <c r="O130" s="43">
        <f t="shared" si="128"/>
        <v>307178</v>
      </c>
      <c r="P130" s="43">
        <f>ROUND(SUM(C130:O130)/13,0)</f>
        <v>306334</v>
      </c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45" t="s">
        <v>275</v>
      </c>
      <c r="AC130" s="43">
        <f t="shared" ref="AC130:AO130" si="129">AC72</f>
        <v>6287</v>
      </c>
      <c r="AD130" s="43">
        <f t="shared" si="129"/>
        <v>6203</v>
      </c>
      <c r="AE130" s="43">
        <f t="shared" si="129"/>
        <v>6118</v>
      </c>
      <c r="AF130" s="43">
        <f t="shared" si="129"/>
        <v>5970</v>
      </c>
      <c r="AG130" s="43">
        <f t="shared" si="129"/>
        <v>5885</v>
      </c>
      <c r="AH130" s="43">
        <f t="shared" si="129"/>
        <v>5801</v>
      </c>
      <c r="AI130" s="43">
        <f t="shared" si="129"/>
        <v>5716</v>
      </c>
      <c r="AJ130" s="43">
        <f t="shared" si="129"/>
        <v>5632</v>
      </c>
      <c r="AK130" s="43">
        <f t="shared" si="129"/>
        <v>5547</v>
      </c>
      <c r="AL130" s="43">
        <f t="shared" si="129"/>
        <v>5463</v>
      </c>
      <c r="AM130" s="43">
        <f t="shared" si="129"/>
        <v>5335</v>
      </c>
      <c r="AN130" s="43">
        <f t="shared" si="129"/>
        <v>5200</v>
      </c>
      <c r="AO130" s="43">
        <f t="shared" si="129"/>
        <v>5194</v>
      </c>
      <c r="AP130" s="43">
        <f>ROUND(SUM(AC130:AO130)/13,0)</f>
        <v>5719</v>
      </c>
      <c r="AQ130" s="32"/>
      <c r="AR130" s="32"/>
    </row>
    <row r="131" spans="1:44">
      <c r="A131" s="32"/>
      <c r="B131" s="45" t="s">
        <v>276</v>
      </c>
      <c r="C131" s="47" t="e">
        <f>#REF!+C66+C67+C73+#REF!+C74+C75</f>
        <v>#REF!</v>
      </c>
      <c r="D131" s="47" t="e">
        <f>#REF!+D66+D67+D73+#REF!+D74+D75</f>
        <v>#REF!</v>
      </c>
      <c r="E131" s="47" t="e">
        <f>#REF!+E66+E67+E73+#REF!+E74+E75</f>
        <v>#REF!</v>
      </c>
      <c r="F131" s="47" t="e">
        <f>#REF!+F66+F67+F73+#REF!+F74+F75</f>
        <v>#REF!</v>
      </c>
      <c r="G131" s="47" t="e">
        <f>#REF!+G66+G67+G73+#REF!+G74+G75</f>
        <v>#REF!</v>
      </c>
      <c r="H131" s="47" t="e">
        <f>#REF!+H66+H67+H73+#REF!+H74+H75</f>
        <v>#REF!</v>
      </c>
      <c r="I131" s="47" t="e">
        <f>#REF!+I66+I67+I73+#REF!+I74+I75</f>
        <v>#REF!</v>
      </c>
      <c r="J131" s="47" t="e">
        <f>#REF!+J66+J67+J73+#REF!+J74+J75</f>
        <v>#REF!</v>
      </c>
      <c r="K131" s="47" t="e">
        <f>#REF!+K66+K67+K73+#REF!+K74+K75</f>
        <v>#REF!</v>
      </c>
      <c r="L131" s="47" t="e">
        <f>#REF!+L66+L67+L73+#REF!+L74+L75</f>
        <v>#REF!</v>
      </c>
      <c r="M131" s="47" t="e">
        <f>#REF!+M66+M67+M73+#REF!+M74+M75</f>
        <v>#REF!</v>
      </c>
      <c r="N131" s="47" t="e">
        <f>#REF!+N66+N67+N73+#REF!+N74+N75</f>
        <v>#REF!</v>
      </c>
      <c r="O131" s="47" t="e">
        <f>#REF!+O66+O67+O73+#REF!+O74+O75</f>
        <v>#REF!</v>
      </c>
      <c r="P131" s="47" t="e">
        <f>#REF!+P66+P67+P73+#REF!+P74+P75</f>
        <v>#REF!</v>
      </c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45" t="s">
        <v>276</v>
      </c>
      <c r="AC131" s="47" t="e">
        <f>#REF!+AC67+AC73+#REF!+AC74+AC75</f>
        <v>#REF!</v>
      </c>
      <c r="AD131" s="47" t="e">
        <f>#REF!+AD67+AD73+#REF!+AD74+AD75</f>
        <v>#REF!</v>
      </c>
      <c r="AE131" s="47" t="e">
        <f>#REF!+AE67+AE73+#REF!+AE74+AE75</f>
        <v>#REF!</v>
      </c>
      <c r="AF131" s="47" t="e">
        <f>#REF!+AF67+AF73+#REF!+AF74+AF75</f>
        <v>#REF!</v>
      </c>
      <c r="AG131" s="47" t="e">
        <f>#REF!+AG67+AG73+#REF!+AG74+AG75</f>
        <v>#REF!</v>
      </c>
      <c r="AH131" s="47" t="e">
        <f>#REF!+AH67+AH73+#REF!+AH74+AH75</f>
        <v>#REF!</v>
      </c>
      <c r="AI131" s="47" t="e">
        <f>#REF!+AI67+AI73+#REF!+AI74+AI75</f>
        <v>#REF!</v>
      </c>
      <c r="AJ131" s="47" t="e">
        <f>#REF!+AJ67+AJ73+#REF!+AJ74+AJ75</f>
        <v>#REF!</v>
      </c>
      <c r="AK131" s="47" t="e">
        <f>#REF!+AK67+AK73+#REF!+AK74+AK75</f>
        <v>#REF!</v>
      </c>
      <c r="AL131" s="47" t="e">
        <f>#REF!+AL67+AL73+#REF!+AL74+AL75</f>
        <v>#REF!</v>
      </c>
      <c r="AM131" s="47" t="e">
        <f>#REF!+AM67+AM73+#REF!+AM74+AM75</f>
        <v>#REF!</v>
      </c>
      <c r="AN131" s="47" t="e">
        <f>#REF!+AN67+AN73+#REF!+AN74+AN75</f>
        <v>#REF!</v>
      </c>
      <c r="AO131" s="47" t="e">
        <f>#REF!+AO67+AO73+#REF!+AO74+AO75</f>
        <v>#REF!</v>
      </c>
      <c r="AP131" s="47" t="e">
        <f>ROUND(SUM(AC131:AO131)/13,0)</f>
        <v>#REF!</v>
      </c>
      <c r="AQ131" s="32"/>
      <c r="AR131" s="32"/>
    </row>
    <row r="132" spans="1:44" ht="3.9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</row>
    <row r="133" spans="1:44">
      <c r="A133" s="29"/>
      <c r="B133" s="30" t="s">
        <v>277</v>
      </c>
      <c r="C133" s="47" t="e">
        <f t="shared" ref="C133:P133" si="130">SUM(C127:C132)</f>
        <v>#REF!</v>
      </c>
      <c r="D133" s="47" t="e">
        <f t="shared" si="130"/>
        <v>#REF!</v>
      </c>
      <c r="E133" s="47" t="e">
        <f t="shared" si="130"/>
        <v>#REF!</v>
      </c>
      <c r="F133" s="47" t="e">
        <f t="shared" si="130"/>
        <v>#REF!</v>
      </c>
      <c r="G133" s="47" t="e">
        <f t="shared" si="130"/>
        <v>#REF!</v>
      </c>
      <c r="H133" s="47" t="e">
        <f t="shared" si="130"/>
        <v>#REF!</v>
      </c>
      <c r="I133" s="47" t="e">
        <f t="shared" si="130"/>
        <v>#REF!</v>
      </c>
      <c r="J133" s="47" t="e">
        <f t="shared" si="130"/>
        <v>#REF!</v>
      </c>
      <c r="K133" s="47" t="e">
        <f t="shared" si="130"/>
        <v>#REF!</v>
      </c>
      <c r="L133" s="47" t="e">
        <f t="shared" si="130"/>
        <v>#REF!</v>
      </c>
      <c r="M133" s="47" t="e">
        <f t="shared" si="130"/>
        <v>#REF!</v>
      </c>
      <c r="N133" s="47" t="e">
        <f t="shared" si="130"/>
        <v>#REF!</v>
      </c>
      <c r="O133" s="47" t="e">
        <f t="shared" si="130"/>
        <v>#REF!</v>
      </c>
      <c r="P133" s="47" t="e">
        <f t="shared" si="130"/>
        <v>#REF!</v>
      </c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29"/>
      <c r="AB133" s="30" t="s">
        <v>277</v>
      </c>
      <c r="AC133" s="47" t="e">
        <f t="shared" ref="AC133:AP133" si="131">SUM(AC127:AC132)</f>
        <v>#REF!</v>
      </c>
      <c r="AD133" s="47" t="e">
        <f t="shared" si="131"/>
        <v>#REF!</v>
      </c>
      <c r="AE133" s="47" t="e">
        <f t="shared" si="131"/>
        <v>#REF!</v>
      </c>
      <c r="AF133" s="47" t="e">
        <f t="shared" si="131"/>
        <v>#REF!</v>
      </c>
      <c r="AG133" s="47" t="e">
        <f t="shared" si="131"/>
        <v>#REF!</v>
      </c>
      <c r="AH133" s="47" t="e">
        <f t="shared" si="131"/>
        <v>#REF!</v>
      </c>
      <c r="AI133" s="47" t="e">
        <f t="shared" si="131"/>
        <v>#REF!</v>
      </c>
      <c r="AJ133" s="47" t="e">
        <f t="shared" si="131"/>
        <v>#REF!</v>
      </c>
      <c r="AK133" s="47" t="e">
        <f t="shared" si="131"/>
        <v>#REF!</v>
      </c>
      <c r="AL133" s="47" t="e">
        <f t="shared" si="131"/>
        <v>#REF!</v>
      </c>
      <c r="AM133" s="47" t="e">
        <f t="shared" si="131"/>
        <v>#REF!</v>
      </c>
      <c r="AN133" s="47" t="e">
        <f t="shared" si="131"/>
        <v>#REF!</v>
      </c>
      <c r="AO133" s="47" t="e">
        <f t="shared" si="131"/>
        <v>#REF!</v>
      </c>
      <c r="AP133" s="47" t="e">
        <f t="shared" si="131"/>
        <v>#REF!</v>
      </c>
      <c r="AQ133" s="32"/>
      <c r="AR133" s="32"/>
    </row>
    <row r="134" spans="1:4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</row>
    <row r="135" spans="1:44">
      <c r="A135" s="29"/>
      <c r="B135" s="30" t="s">
        <v>278</v>
      </c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29"/>
      <c r="AB135" s="30" t="s">
        <v>278</v>
      </c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</row>
    <row r="136" spans="1:44">
      <c r="A136" s="32"/>
      <c r="B136" s="55" t="s">
        <v>279</v>
      </c>
      <c r="C136" s="43">
        <f t="shared" ref="C136:O136" si="132">C80</f>
        <v>0</v>
      </c>
      <c r="D136" s="43">
        <f t="shared" si="132"/>
        <v>0</v>
      </c>
      <c r="E136" s="43">
        <f t="shared" si="132"/>
        <v>0</v>
      </c>
      <c r="F136" s="43">
        <f t="shared" si="132"/>
        <v>0</v>
      </c>
      <c r="G136" s="43">
        <f t="shared" si="132"/>
        <v>0</v>
      </c>
      <c r="H136" s="43">
        <f t="shared" si="132"/>
        <v>0</v>
      </c>
      <c r="I136" s="43">
        <f t="shared" si="132"/>
        <v>0</v>
      </c>
      <c r="J136" s="43">
        <f t="shared" si="132"/>
        <v>0</v>
      </c>
      <c r="K136" s="43">
        <f t="shared" si="132"/>
        <v>0</v>
      </c>
      <c r="L136" s="43">
        <f t="shared" si="132"/>
        <v>0</v>
      </c>
      <c r="M136" s="43">
        <f t="shared" si="132"/>
        <v>0</v>
      </c>
      <c r="N136" s="43">
        <f t="shared" si="132"/>
        <v>0</v>
      </c>
      <c r="O136" s="43">
        <f t="shared" si="132"/>
        <v>0</v>
      </c>
      <c r="P136" s="43">
        <f>ROUND(SUM(C136:O136)/13,0)</f>
        <v>0</v>
      </c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45" t="s">
        <v>280</v>
      </c>
      <c r="AC136" s="43">
        <f t="shared" ref="AC136:AO136" si="133">AC80</f>
        <v>0</v>
      </c>
      <c r="AD136" s="43">
        <f t="shared" si="133"/>
        <v>0</v>
      </c>
      <c r="AE136" s="43">
        <f t="shared" si="133"/>
        <v>0</v>
      </c>
      <c r="AF136" s="43">
        <f t="shared" si="133"/>
        <v>0</v>
      </c>
      <c r="AG136" s="43">
        <f t="shared" si="133"/>
        <v>0</v>
      </c>
      <c r="AH136" s="43">
        <f t="shared" si="133"/>
        <v>0</v>
      </c>
      <c r="AI136" s="43">
        <f t="shared" si="133"/>
        <v>0</v>
      </c>
      <c r="AJ136" s="43">
        <f t="shared" si="133"/>
        <v>0</v>
      </c>
      <c r="AK136" s="43">
        <f t="shared" si="133"/>
        <v>0</v>
      </c>
      <c r="AL136" s="43">
        <f t="shared" si="133"/>
        <v>0</v>
      </c>
      <c r="AM136" s="43">
        <f t="shared" si="133"/>
        <v>0</v>
      </c>
      <c r="AN136" s="43">
        <f t="shared" si="133"/>
        <v>0</v>
      </c>
      <c r="AO136" s="43">
        <f t="shared" si="133"/>
        <v>0</v>
      </c>
      <c r="AP136" s="43">
        <f>ROUND(SUM(AC136:AO136)/13,0)</f>
        <v>0</v>
      </c>
      <c r="AQ136" s="32"/>
      <c r="AR136" s="32"/>
    </row>
    <row r="137" spans="1:44">
      <c r="A137" s="32"/>
      <c r="B137" s="55" t="s">
        <v>281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43">
        <f>ROUND(SUM(C137:O137)/13,0)</f>
        <v>0</v>
      </c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45" t="s">
        <v>282</v>
      </c>
      <c r="AC137" s="46">
        <v>0</v>
      </c>
      <c r="AD137" s="46">
        <v>0</v>
      </c>
      <c r="AE137" s="46">
        <v>0</v>
      </c>
      <c r="AF137" s="46">
        <v>0</v>
      </c>
      <c r="AG137" s="46">
        <v>0</v>
      </c>
      <c r="AH137" s="46">
        <v>0</v>
      </c>
      <c r="AI137" s="46">
        <v>0</v>
      </c>
      <c r="AJ137" s="46">
        <v>0</v>
      </c>
      <c r="AK137" s="46">
        <v>0</v>
      </c>
      <c r="AL137" s="46">
        <v>0</v>
      </c>
      <c r="AM137" s="46">
        <v>0</v>
      </c>
      <c r="AN137" s="46">
        <v>0</v>
      </c>
      <c r="AO137" s="46">
        <v>0</v>
      </c>
      <c r="AP137" s="43">
        <f>ROUND(SUM(AC137:AO137)/13,0)</f>
        <v>0</v>
      </c>
      <c r="AQ137" s="32"/>
      <c r="AR137" s="32"/>
    </row>
    <row r="138" spans="1:44">
      <c r="A138" s="32"/>
      <c r="B138" s="45" t="s">
        <v>283</v>
      </c>
      <c r="C138" s="47">
        <f t="shared" ref="C138:O138" si="134">C81-C137</f>
        <v>499666</v>
      </c>
      <c r="D138" s="47">
        <f t="shared" si="134"/>
        <v>499672</v>
      </c>
      <c r="E138" s="47">
        <f t="shared" si="134"/>
        <v>499678</v>
      </c>
      <c r="F138" s="47">
        <f t="shared" si="134"/>
        <v>499685</v>
      </c>
      <c r="G138" s="47">
        <f t="shared" si="134"/>
        <v>499691</v>
      </c>
      <c r="H138" s="47">
        <f t="shared" si="134"/>
        <v>499698</v>
      </c>
      <c r="I138" s="47">
        <f t="shared" si="134"/>
        <v>499704</v>
      </c>
      <c r="J138" s="47">
        <f t="shared" si="134"/>
        <v>499711</v>
      </c>
      <c r="K138" s="47">
        <f t="shared" si="134"/>
        <v>499717</v>
      </c>
      <c r="L138" s="47">
        <f t="shared" si="134"/>
        <v>499724</v>
      </c>
      <c r="M138" s="47">
        <f t="shared" si="134"/>
        <v>499730</v>
      </c>
      <c r="N138" s="47">
        <f t="shared" si="134"/>
        <v>499737</v>
      </c>
      <c r="O138" s="47">
        <f t="shared" si="134"/>
        <v>499743</v>
      </c>
      <c r="P138" s="47">
        <f>ROUND(SUM(C138:O138)/13,0)</f>
        <v>499704</v>
      </c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45" t="s">
        <v>283</v>
      </c>
      <c r="AC138" s="47">
        <f t="shared" ref="AC138:AO138" si="135">AC81-AC137</f>
        <v>0</v>
      </c>
      <c r="AD138" s="47">
        <f t="shared" si="135"/>
        <v>0</v>
      </c>
      <c r="AE138" s="47">
        <f t="shared" si="135"/>
        <v>0</v>
      </c>
      <c r="AF138" s="47">
        <f t="shared" si="135"/>
        <v>0</v>
      </c>
      <c r="AG138" s="47">
        <f t="shared" si="135"/>
        <v>0</v>
      </c>
      <c r="AH138" s="47">
        <f t="shared" si="135"/>
        <v>0</v>
      </c>
      <c r="AI138" s="47">
        <f t="shared" si="135"/>
        <v>0</v>
      </c>
      <c r="AJ138" s="47">
        <f t="shared" si="135"/>
        <v>0</v>
      </c>
      <c r="AK138" s="47">
        <f t="shared" si="135"/>
        <v>0</v>
      </c>
      <c r="AL138" s="47">
        <f t="shared" si="135"/>
        <v>0</v>
      </c>
      <c r="AM138" s="47">
        <f t="shared" si="135"/>
        <v>0</v>
      </c>
      <c r="AN138" s="47">
        <f t="shared" si="135"/>
        <v>0</v>
      </c>
      <c r="AO138" s="47">
        <f t="shared" si="135"/>
        <v>0</v>
      </c>
      <c r="AP138" s="47">
        <f>ROUND(SUM(AC138:AO138)/13,0)</f>
        <v>0</v>
      </c>
      <c r="AQ138" s="32"/>
      <c r="AR138" s="32"/>
    </row>
    <row r="139" spans="1:44" ht="6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</row>
    <row r="140" spans="1:44">
      <c r="A140" s="29"/>
      <c r="B140" s="30" t="s">
        <v>284</v>
      </c>
      <c r="C140" s="43">
        <f t="shared" ref="C140:P140" si="136">SUM(C136:C139)</f>
        <v>499666</v>
      </c>
      <c r="D140" s="43">
        <f t="shared" si="136"/>
        <v>499672</v>
      </c>
      <c r="E140" s="43">
        <f t="shared" si="136"/>
        <v>499678</v>
      </c>
      <c r="F140" s="43">
        <f t="shared" si="136"/>
        <v>499685</v>
      </c>
      <c r="G140" s="43">
        <f t="shared" si="136"/>
        <v>499691</v>
      </c>
      <c r="H140" s="43">
        <f t="shared" si="136"/>
        <v>499698</v>
      </c>
      <c r="I140" s="43">
        <f t="shared" si="136"/>
        <v>499704</v>
      </c>
      <c r="J140" s="43">
        <f t="shared" si="136"/>
        <v>499711</v>
      </c>
      <c r="K140" s="43">
        <f t="shared" si="136"/>
        <v>499717</v>
      </c>
      <c r="L140" s="43">
        <f t="shared" si="136"/>
        <v>499724</v>
      </c>
      <c r="M140" s="43">
        <f t="shared" si="136"/>
        <v>499730</v>
      </c>
      <c r="N140" s="43">
        <f t="shared" si="136"/>
        <v>499737</v>
      </c>
      <c r="O140" s="43">
        <f t="shared" si="136"/>
        <v>499743</v>
      </c>
      <c r="P140" s="43">
        <f t="shared" si="136"/>
        <v>499704</v>
      </c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29"/>
      <c r="AB140" s="30" t="s">
        <v>284</v>
      </c>
      <c r="AC140" s="43">
        <f t="shared" ref="AC140:AP140" si="137">SUM(AC136:AC139)</f>
        <v>0</v>
      </c>
      <c r="AD140" s="43">
        <f t="shared" si="137"/>
        <v>0</v>
      </c>
      <c r="AE140" s="43">
        <f t="shared" si="137"/>
        <v>0</v>
      </c>
      <c r="AF140" s="43">
        <f t="shared" si="137"/>
        <v>0</v>
      </c>
      <c r="AG140" s="43">
        <f t="shared" si="137"/>
        <v>0</v>
      </c>
      <c r="AH140" s="43">
        <f t="shared" si="137"/>
        <v>0</v>
      </c>
      <c r="AI140" s="43">
        <f t="shared" si="137"/>
        <v>0</v>
      </c>
      <c r="AJ140" s="43">
        <f t="shared" si="137"/>
        <v>0</v>
      </c>
      <c r="AK140" s="43">
        <f t="shared" si="137"/>
        <v>0</v>
      </c>
      <c r="AL140" s="43">
        <f t="shared" si="137"/>
        <v>0</v>
      </c>
      <c r="AM140" s="43">
        <f t="shared" si="137"/>
        <v>0</v>
      </c>
      <c r="AN140" s="43">
        <f t="shared" si="137"/>
        <v>0</v>
      </c>
      <c r="AO140" s="43">
        <f t="shared" si="137"/>
        <v>0</v>
      </c>
      <c r="AP140" s="43">
        <f t="shared" si="137"/>
        <v>0</v>
      </c>
      <c r="AQ140" s="32"/>
      <c r="AR140" s="32"/>
    </row>
    <row r="141" spans="1:44">
      <c r="A141" s="29"/>
      <c r="B141" s="30" t="s">
        <v>285</v>
      </c>
      <c r="C141" s="47">
        <f t="shared" ref="C141:O141" si="138">C87+C88+C90</f>
        <v>1087527</v>
      </c>
      <c r="D141" s="47">
        <f t="shared" si="138"/>
        <v>1107162</v>
      </c>
      <c r="E141" s="47">
        <f t="shared" si="138"/>
        <v>1125947</v>
      </c>
      <c r="F141" s="47">
        <f t="shared" si="138"/>
        <v>1138664</v>
      </c>
      <c r="G141" s="47">
        <f t="shared" si="138"/>
        <v>1141747</v>
      </c>
      <c r="H141" s="47">
        <f t="shared" si="138"/>
        <v>1142736</v>
      </c>
      <c r="I141" s="47">
        <f t="shared" si="138"/>
        <v>1145702</v>
      </c>
      <c r="J141" s="47">
        <f t="shared" si="138"/>
        <v>1147250</v>
      </c>
      <c r="K141" s="47">
        <f t="shared" si="138"/>
        <v>1149724</v>
      </c>
      <c r="L141" s="47">
        <f t="shared" si="138"/>
        <v>1150370</v>
      </c>
      <c r="M141" s="47">
        <f t="shared" si="138"/>
        <v>1149185</v>
      </c>
      <c r="N141" s="47">
        <f t="shared" si="138"/>
        <v>1165536</v>
      </c>
      <c r="O141" s="47">
        <f t="shared" si="138"/>
        <v>1182292</v>
      </c>
      <c r="P141" s="47">
        <f>ROUND(SUM(C141:O141)/13,0)</f>
        <v>1141065</v>
      </c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29"/>
      <c r="AB141" s="30" t="s">
        <v>285</v>
      </c>
      <c r="AC141" s="47">
        <f t="shared" ref="AC141:AO141" si="139">AC87+AC88+AC90</f>
        <v>67757</v>
      </c>
      <c r="AD141" s="47">
        <f t="shared" si="139"/>
        <v>68069</v>
      </c>
      <c r="AE141" s="47">
        <f t="shared" si="139"/>
        <v>68256</v>
      </c>
      <c r="AF141" s="47">
        <f t="shared" si="139"/>
        <v>63455</v>
      </c>
      <c r="AG141" s="47">
        <f t="shared" si="139"/>
        <v>64263</v>
      </c>
      <c r="AH141" s="47">
        <f t="shared" si="139"/>
        <v>64439</v>
      </c>
      <c r="AI141" s="47">
        <f t="shared" si="139"/>
        <v>64695</v>
      </c>
      <c r="AJ141" s="47">
        <f t="shared" si="139"/>
        <v>64884</v>
      </c>
      <c r="AK141" s="47">
        <f t="shared" si="139"/>
        <v>65033</v>
      </c>
      <c r="AL141" s="47">
        <f t="shared" si="139"/>
        <v>65216</v>
      </c>
      <c r="AM141" s="47">
        <f t="shared" si="139"/>
        <v>65403</v>
      </c>
      <c r="AN141" s="47">
        <f t="shared" si="139"/>
        <v>65600</v>
      </c>
      <c r="AO141" s="47">
        <f t="shared" si="139"/>
        <v>65592</v>
      </c>
      <c r="AP141" s="47">
        <f>ROUND(SUM(AC141:AO141)/13,0)</f>
        <v>65589</v>
      </c>
      <c r="AQ141" s="32"/>
      <c r="AR141" s="32"/>
    </row>
    <row r="142" spans="1:44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</row>
    <row r="143" spans="1:44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</row>
    <row r="144" spans="1:44">
      <c r="A144" s="29"/>
      <c r="B144" s="30" t="s">
        <v>286</v>
      </c>
      <c r="C144" s="49">
        <f t="shared" ref="C144:P144" si="140">SUM(C140:C142)</f>
        <v>1587193</v>
      </c>
      <c r="D144" s="49">
        <f t="shared" si="140"/>
        <v>1606834</v>
      </c>
      <c r="E144" s="49">
        <f t="shared" si="140"/>
        <v>1625625</v>
      </c>
      <c r="F144" s="49">
        <f t="shared" si="140"/>
        <v>1638349</v>
      </c>
      <c r="G144" s="49">
        <f t="shared" si="140"/>
        <v>1641438</v>
      </c>
      <c r="H144" s="49">
        <f t="shared" si="140"/>
        <v>1642434</v>
      </c>
      <c r="I144" s="49">
        <f t="shared" si="140"/>
        <v>1645406</v>
      </c>
      <c r="J144" s="49">
        <f t="shared" si="140"/>
        <v>1646961</v>
      </c>
      <c r="K144" s="49">
        <f t="shared" si="140"/>
        <v>1649441</v>
      </c>
      <c r="L144" s="49">
        <f t="shared" si="140"/>
        <v>1650094</v>
      </c>
      <c r="M144" s="49">
        <f t="shared" si="140"/>
        <v>1648915</v>
      </c>
      <c r="N144" s="49">
        <f t="shared" si="140"/>
        <v>1665273</v>
      </c>
      <c r="O144" s="49">
        <f t="shared" si="140"/>
        <v>1682035</v>
      </c>
      <c r="P144" s="49">
        <f t="shared" si="140"/>
        <v>1640769</v>
      </c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29"/>
      <c r="AB144" s="30" t="s">
        <v>286</v>
      </c>
      <c r="AC144" s="49">
        <f t="shared" ref="AC144:AP144" si="141">SUM(AC140:AC142)</f>
        <v>67757</v>
      </c>
      <c r="AD144" s="49">
        <f t="shared" si="141"/>
        <v>68069</v>
      </c>
      <c r="AE144" s="49">
        <f t="shared" si="141"/>
        <v>68256</v>
      </c>
      <c r="AF144" s="49">
        <f t="shared" si="141"/>
        <v>63455</v>
      </c>
      <c r="AG144" s="49">
        <f t="shared" si="141"/>
        <v>64263</v>
      </c>
      <c r="AH144" s="49">
        <f t="shared" si="141"/>
        <v>64439</v>
      </c>
      <c r="AI144" s="49">
        <f t="shared" si="141"/>
        <v>64695</v>
      </c>
      <c r="AJ144" s="49">
        <f t="shared" si="141"/>
        <v>64884</v>
      </c>
      <c r="AK144" s="49">
        <f t="shared" si="141"/>
        <v>65033</v>
      </c>
      <c r="AL144" s="49">
        <f t="shared" si="141"/>
        <v>65216</v>
      </c>
      <c r="AM144" s="49">
        <f t="shared" si="141"/>
        <v>65403</v>
      </c>
      <c r="AN144" s="49">
        <f t="shared" si="141"/>
        <v>65600</v>
      </c>
      <c r="AO144" s="49">
        <f t="shared" si="141"/>
        <v>65592</v>
      </c>
      <c r="AP144" s="49">
        <f t="shared" si="141"/>
        <v>65589</v>
      </c>
      <c r="AQ144" s="32"/>
      <c r="AR144" s="32"/>
    </row>
    <row r="145" spans="1:44">
      <c r="A145" s="32"/>
      <c r="B145" s="32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32"/>
      <c r="AR145" s="32"/>
    </row>
    <row r="146" spans="1:44">
      <c r="A146" s="32"/>
      <c r="B146" s="32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32"/>
      <c r="AQ146" s="32"/>
      <c r="AR146" s="32"/>
    </row>
    <row r="147" spans="1:44">
      <c r="A147" s="29"/>
      <c r="B147" s="30" t="s">
        <v>287</v>
      </c>
      <c r="C147" s="32"/>
      <c r="D147" s="237">
        <v>0</v>
      </c>
      <c r="E147" s="237">
        <v>0</v>
      </c>
      <c r="F147" s="237">
        <v>0</v>
      </c>
      <c r="G147" s="237">
        <v>0</v>
      </c>
      <c r="H147" s="237">
        <v>0</v>
      </c>
      <c r="I147" s="237">
        <v>0</v>
      </c>
      <c r="J147" s="237">
        <v>0</v>
      </c>
      <c r="K147" s="237">
        <v>0</v>
      </c>
      <c r="L147" s="237">
        <v>0</v>
      </c>
      <c r="M147" s="237">
        <v>0</v>
      </c>
      <c r="N147" s="237">
        <v>0</v>
      </c>
      <c r="O147" s="237">
        <v>0</v>
      </c>
      <c r="P147" s="237">
        <v>0</v>
      </c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29"/>
      <c r="AB147" s="30" t="s">
        <v>287</v>
      </c>
      <c r="AC147" s="32"/>
      <c r="AD147" s="46">
        <v>0</v>
      </c>
      <c r="AE147" s="46">
        <v>0</v>
      </c>
      <c r="AF147" s="46">
        <v>0</v>
      </c>
      <c r="AG147" s="46">
        <v>0</v>
      </c>
      <c r="AH147" s="46">
        <v>0</v>
      </c>
      <c r="AI147" s="46">
        <v>0</v>
      </c>
      <c r="AJ147" s="46">
        <v>0</v>
      </c>
      <c r="AK147" s="46">
        <v>0</v>
      </c>
      <c r="AL147" s="46">
        <v>0</v>
      </c>
      <c r="AM147" s="46">
        <v>0</v>
      </c>
      <c r="AN147" s="46">
        <v>0</v>
      </c>
      <c r="AO147" s="46">
        <v>0</v>
      </c>
      <c r="AP147" s="46">
        <v>0</v>
      </c>
      <c r="AQ147" s="32"/>
      <c r="AR147" s="32"/>
    </row>
    <row r="148" spans="1:44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</row>
    <row r="149" spans="1:44">
      <c r="A149" s="29"/>
      <c r="B149" s="30" t="s">
        <v>288</v>
      </c>
      <c r="C149" s="32"/>
      <c r="D149" s="50">
        <f t="shared" ref="D149:P149" si="142">D147/D144</f>
        <v>0</v>
      </c>
      <c r="E149" s="50">
        <f t="shared" si="142"/>
        <v>0</v>
      </c>
      <c r="F149" s="50">
        <f t="shared" si="142"/>
        <v>0</v>
      </c>
      <c r="G149" s="50">
        <f t="shared" si="142"/>
        <v>0</v>
      </c>
      <c r="H149" s="50">
        <f t="shared" si="142"/>
        <v>0</v>
      </c>
      <c r="I149" s="50">
        <f t="shared" si="142"/>
        <v>0</v>
      </c>
      <c r="J149" s="50">
        <f t="shared" si="142"/>
        <v>0</v>
      </c>
      <c r="K149" s="50">
        <f t="shared" si="142"/>
        <v>0</v>
      </c>
      <c r="L149" s="50">
        <f t="shared" si="142"/>
        <v>0</v>
      </c>
      <c r="M149" s="50">
        <f t="shared" si="142"/>
        <v>0</v>
      </c>
      <c r="N149" s="50">
        <f t="shared" si="142"/>
        <v>0</v>
      </c>
      <c r="O149" s="50">
        <f t="shared" si="142"/>
        <v>0</v>
      </c>
      <c r="P149" s="50">
        <f t="shared" si="142"/>
        <v>0</v>
      </c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29"/>
      <c r="AB149" s="30" t="s">
        <v>288</v>
      </c>
      <c r="AC149" s="32"/>
      <c r="AD149" s="50">
        <f t="shared" ref="AD149:AP149" si="143">AD147/AD144</f>
        <v>0</v>
      </c>
      <c r="AE149" s="50">
        <f t="shared" si="143"/>
        <v>0</v>
      </c>
      <c r="AF149" s="50">
        <f t="shared" si="143"/>
        <v>0</v>
      </c>
      <c r="AG149" s="50">
        <f t="shared" si="143"/>
        <v>0</v>
      </c>
      <c r="AH149" s="50">
        <f t="shared" si="143"/>
        <v>0</v>
      </c>
      <c r="AI149" s="50">
        <f t="shared" si="143"/>
        <v>0</v>
      </c>
      <c r="AJ149" s="50">
        <f t="shared" si="143"/>
        <v>0</v>
      </c>
      <c r="AK149" s="50">
        <f t="shared" si="143"/>
        <v>0</v>
      </c>
      <c r="AL149" s="50">
        <f t="shared" si="143"/>
        <v>0</v>
      </c>
      <c r="AM149" s="50">
        <f t="shared" si="143"/>
        <v>0</v>
      </c>
      <c r="AN149" s="50">
        <f t="shared" si="143"/>
        <v>0</v>
      </c>
      <c r="AO149" s="50">
        <f t="shared" si="143"/>
        <v>0</v>
      </c>
      <c r="AP149" s="50">
        <f t="shared" si="143"/>
        <v>0</v>
      </c>
      <c r="AQ149" s="32"/>
      <c r="AR149" s="32"/>
    </row>
    <row r="150" spans="1:44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</row>
    <row r="151" spans="1:44">
      <c r="A151" s="32"/>
      <c r="B151" s="45" t="s">
        <v>250</v>
      </c>
      <c r="C151" s="43" t="e">
        <f t="shared" ref="C151:O151" si="144">C123-C133-C144</f>
        <v>#REF!</v>
      </c>
      <c r="D151" s="43" t="e">
        <f t="shared" si="144"/>
        <v>#REF!</v>
      </c>
      <c r="E151" s="43" t="e">
        <f t="shared" si="144"/>
        <v>#REF!</v>
      </c>
      <c r="F151" s="43" t="e">
        <f t="shared" si="144"/>
        <v>#REF!</v>
      </c>
      <c r="G151" s="43" t="e">
        <f t="shared" si="144"/>
        <v>#REF!</v>
      </c>
      <c r="H151" s="43" t="e">
        <f t="shared" si="144"/>
        <v>#REF!</v>
      </c>
      <c r="I151" s="43" t="e">
        <f t="shared" si="144"/>
        <v>#REF!</v>
      </c>
      <c r="J151" s="43" t="e">
        <f t="shared" si="144"/>
        <v>#REF!</v>
      </c>
      <c r="K151" s="43" t="e">
        <f t="shared" si="144"/>
        <v>#REF!</v>
      </c>
      <c r="L151" s="43" t="e">
        <f t="shared" si="144"/>
        <v>#REF!</v>
      </c>
      <c r="M151" s="43" t="e">
        <f t="shared" si="144"/>
        <v>#REF!</v>
      </c>
      <c r="N151" s="43" t="e">
        <f t="shared" si="144"/>
        <v>#REF!</v>
      </c>
      <c r="O151" s="43" t="e">
        <f t="shared" si="144"/>
        <v>#REF!</v>
      </c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45" t="s">
        <v>250</v>
      </c>
      <c r="AC151" s="43" t="e">
        <f t="shared" ref="AC151:AO151" si="145">AC123-AC133-AC144</f>
        <v>#REF!</v>
      </c>
      <c r="AD151" s="43" t="e">
        <f t="shared" si="145"/>
        <v>#REF!</v>
      </c>
      <c r="AE151" s="43" t="e">
        <f t="shared" si="145"/>
        <v>#REF!</v>
      </c>
      <c r="AF151" s="43" t="e">
        <f t="shared" si="145"/>
        <v>#REF!</v>
      </c>
      <c r="AG151" s="43" t="e">
        <f t="shared" si="145"/>
        <v>#REF!</v>
      </c>
      <c r="AH151" s="43" t="e">
        <f t="shared" si="145"/>
        <v>#REF!</v>
      </c>
      <c r="AI151" s="43" t="e">
        <f t="shared" si="145"/>
        <v>#REF!</v>
      </c>
      <c r="AJ151" s="43" t="e">
        <f t="shared" si="145"/>
        <v>#REF!</v>
      </c>
      <c r="AK151" s="43" t="e">
        <f t="shared" si="145"/>
        <v>#REF!</v>
      </c>
      <c r="AL151" s="43" t="e">
        <f t="shared" si="145"/>
        <v>#REF!</v>
      </c>
      <c r="AM151" s="43" t="e">
        <f t="shared" si="145"/>
        <v>#REF!</v>
      </c>
      <c r="AN151" s="43" t="e">
        <f t="shared" si="145"/>
        <v>#REF!</v>
      </c>
      <c r="AO151" s="43" t="e">
        <f t="shared" si="145"/>
        <v>#REF!</v>
      </c>
      <c r="AP151" s="32"/>
      <c r="AQ151" s="32"/>
      <c r="AR151" s="32"/>
    </row>
    <row r="152" spans="1:44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</row>
    <row r="153" spans="1:44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</row>
    <row r="154" spans="1:4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</row>
    <row r="155" spans="1:44" ht="8.1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</row>
    <row r="156" spans="1:44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</row>
    <row r="157" spans="1:44">
      <c r="A157" s="33" t="str">
        <f ca="1">A1</f>
        <v>C:\Users\Felienne\Enron\EnronSpreadsheets\[tracy_geaccone__40393__NNG3rdCECF.xls]BACKUP</v>
      </c>
      <c r="B157" s="29"/>
      <c r="C157" s="29"/>
      <c r="D157" s="29"/>
      <c r="E157" s="29"/>
      <c r="F157" s="152" t="str">
        <f>F1</f>
        <v>NORTHERN NATURAL GAS GROUP</v>
      </c>
      <c r="G157" s="152"/>
      <c r="H157" s="152"/>
      <c r="I157" s="152"/>
      <c r="J157" s="29"/>
      <c r="K157" s="29"/>
      <c r="L157" s="29"/>
      <c r="M157" s="29"/>
      <c r="N157" s="29"/>
      <c r="O157" s="29"/>
      <c r="P157" s="31">
        <f ca="1">NOW()</f>
        <v>41887.551206018521</v>
      </c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3" t="str">
        <f ca="1">A1</f>
        <v>C:\Users\Felienne\Enron\EnronSpreadsheets\[tracy_geaccone__40393__NNG3rdCECF.xls]BACKUP</v>
      </c>
      <c r="AB157" s="29"/>
      <c r="AC157" s="29"/>
      <c r="AD157" s="29"/>
      <c r="AE157" s="29"/>
      <c r="AF157" s="152" t="str">
        <f>AE1</f>
        <v>TRAILBLAZER &amp; OVERTHRUST PIPELINES</v>
      </c>
      <c r="AG157" s="152"/>
      <c r="AH157" s="152"/>
      <c r="AI157" s="152"/>
      <c r="AJ157" s="29"/>
      <c r="AK157" s="29"/>
      <c r="AL157" s="29"/>
      <c r="AM157" s="29"/>
      <c r="AN157" s="29"/>
      <c r="AO157" s="29"/>
      <c r="AP157" s="31">
        <f ca="1">NOW()</f>
        <v>41887.551206018521</v>
      </c>
      <c r="AQ157" s="32"/>
      <c r="AR157" s="32"/>
    </row>
    <row r="158" spans="1:44">
      <c r="A158" s="56" t="s">
        <v>289</v>
      </c>
      <c r="B158" s="29"/>
      <c r="C158" s="29"/>
      <c r="D158" s="29"/>
      <c r="E158" s="29"/>
      <c r="F158" s="154" t="s">
        <v>290</v>
      </c>
      <c r="G158" s="152"/>
      <c r="H158" s="152"/>
      <c r="I158" s="152"/>
      <c r="J158" s="29"/>
      <c r="K158" s="29"/>
      <c r="L158" s="29"/>
      <c r="M158" s="29"/>
      <c r="N158" s="29"/>
      <c r="O158" s="29"/>
      <c r="P158" s="36">
        <f ca="1">NOW()</f>
        <v>41887.551206018521</v>
      </c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56" t="s">
        <v>291</v>
      </c>
      <c r="AB158" s="29"/>
      <c r="AC158" s="29"/>
      <c r="AD158" s="29"/>
      <c r="AE158" s="29"/>
      <c r="AF158" s="154" t="s">
        <v>290</v>
      </c>
      <c r="AG158" s="152"/>
      <c r="AH158" s="152"/>
      <c r="AI158" s="152"/>
      <c r="AJ158" s="29"/>
      <c r="AK158" s="29"/>
      <c r="AL158" s="29"/>
      <c r="AM158" s="29"/>
      <c r="AN158" s="29"/>
      <c r="AO158" s="29"/>
      <c r="AP158" s="36">
        <f ca="1">NOW()</f>
        <v>41887.551206018521</v>
      </c>
      <c r="AQ158" s="32"/>
      <c r="AR158" s="32"/>
    </row>
    <row r="159" spans="1:44">
      <c r="A159" s="38"/>
      <c r="B159" s="29"/>
      <c r="C159" s="29"/>
      <c r="D159" s="29"/>
      <c r="E159" s="29"/>
      <c r="F159" s="152" t="str">
        <f>F3</f>
        <v>2001 ACTUAL / ESTIMATE</v>
      </c>
      <c r="G159" s="152"/>
      <c r="H159" s="152"/>
      <c r="I159" s="152"/>
      <c r="J159" s="29"/>
      <c r="K159" s="29"/>
      <c r="L159" s="29"/>
      <c r="M159" s="29"/>
      <c r="N159" s="29"/>
      <c r="O159" s="29"/>
      <c r="P159" s="29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8"/>
      <c r="AB159" s="29"/>
      <c r="AC159" s="29"/>
      <c r="AD159" s="29"/>
      <c r="AE159" s="29"/>
      <c r="AF159" s="152" t="str">
        <f>AF3</f>
        <v>2001 ACTUAL / ESTIMATE</v>
      </c>
      <c r="AG159" s="152"/>
      <c r="AH159" s="152"/>
      <c r="AI159" s="152"/>
      <c r="AJ159" s="29"/>
      <c r="AK159" s="29"/>
      <c r="AL159" s="29"/>
      <c r="AM159" s="29"/>
      <c r="AN159" s="29"/>
      <c r="AO159" s="29"/>
      <c r="AP159" s="29"/>
      <c r="AQ159" s="32"/>
      <c r="AR159" s="32"/>
    </row>
    <row r="160" spans="1:44">
      <c r="A160" s="29"/>
      <c r="B160" s="29"/>
      <c r="C160" s="29"/>
      <c r="D160" s="29"/>
      <c r="E160" s="29"/>
      <c r="F160" s="152" t="str">
        <f>F4</f>
        <v>(Thousands of Dollars)</v>
      </c>
      <c r="G160" s="152"/>
      <c r="H160" s="152"/>
      <c r="I160" s="152"/>
      <c r="J160" s="29"/>
      <c r="K160" s="29"/>
      <c r="L160" s="29"/>
      <c r="M160" s="29"/>
      <c r="N160" s="29"/>
      <c r="O160" s="29"/>
      <c r="P160" s="29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29"/>
      <c r="AB160" s="29"/>
      <c r="AC160" s="29"/>
      <c r="AD160" s="29"/>
      <c r="AE160" s="29"/>
      <c r="AF160" s="152" t="str">
        <f>AF4</f>
        <v>(Thousands of Dollars)</v>
      </c>
      <c r="AG160" s="152"/>
      <c r="AH160" s="152"/>
      <c r="AI160" s="152"/>
      <c r="AJ160" s="29"/>
      <c r="AK160" s="29"/>
      <c r="AL160" s="29"/>
      <c r="AM160" s="29"/>
      <c r="AN160" s="29"/>
      <c r="AO160" s="29"/>
      <c r="AP160" s="29"/>
      <c r="AQ160" s="32"/>
      <c r="AR160" s="32"/>
    </row>
    <row r="161" spans="1:44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32"/>
      <c r="AR161" s="32"/>
    </row>
    <row r="162" spans="1:44">
      <c r="A162" s="29"/>
      <c r="B162" s="29"/>
      <c r="C162" s="39"/>
      <c r="D162" s="57"/>
      <c r="E162" s="58"/>
      <c r="F162" s="57"/>
      <c r="G162" s="54"/>
      <c r="H162" s="54"/>
      <c r="I162" s="53"/>
      <c r="J162" s="54"/>
      <c r="K162" s="57"/>
      <c r="L162" s="57"/>
      <c r="M162" s="57"/>
      <c r="N162" s="57"/>
      <c r="O162" s="57"/>
      <c r="P162" s="29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29"/>
      <c r="AB162" s="29"/>
      <c r="AC162" s="29"/>
      <c r="AD162" s="29"/>
      <c r="AE162" s="32"/>
      <c r="AF162" s="29"/>
      <c r="AG162" s="39"/>
      <c r="AH162" s="39"/>
      <c r="AI162" s="29"/>
      <c r="AJ162" s="29"/>
      <c r="AK162" s="29"/>
      <c r="AL162" s="29"/>
      <c r="AM162" s="29"/>
      <c r="AN162" s="29"/>
      <c r="AO162" s="29"/>
      <c r="AP162" s="29"/>
      <c r="AQ162" s="32"/>
      <c r="AR162" s="32"/>
    </row>
    <row r="163" spans="1:44">
      <c r="A163" s="29"/>
      <c r="B163" s="29"/>
      <c r="C163" s="40" t="str">
        <f t="shared" ref="C163:O163" si="146">C7</f>
        <v>ACTUAL</v>
      </c>
      <c r="D163" s="40" t="str">
        <f t="shared" si="146"/>
        <v>ACT.</v>
      </c>
      <c r="E163" s="40" t="str">
        <f t="shared" si="146"/>
        <v>ACT.</v>
      </c>
      <c r="F163" s="40" t="str">
        <f t="shared" si="146"/>
        <v>ACT.</v>
      </c>
      <c r="G163" s="40" t="str">
        <f t="shared" si="146"/>
        <v>ACT.</v>
      </c>
      <c r="H163" s="40" t="str">
        <f t="shared" si="146"/>
        <v>ACT.</v>
      </c>
      <c r="I163" s="40" t="str">
        <f t="shared" si="146"/>
        <v>ACT.</v>
      </c>
      <c r="J163" s="40" t="str">
        <f t="shared" si="146"/>
        <v>ACT.</v>
      </c>
      <c r="K163" s="40" t="str">
        <f t="shared" si="146"/>
        <v>ACT.</v>
      </c>
      <c r="L163" s="40" t="str">
        <f t="shared" si="146"/>
        <v>3rd CE</v>
      </c>
      <c r="M163" s="40" t="str">
        <f t="shared" si="146"/>
        <v>3rd CE</v>
      </c>
      <c r="N163" s="40" t="str">
        <f t="shared" si="146"/>
        <v>3rd CE</v>
      </c>
      <c r="O163" s="40" t="str">
        <f t="shared" si="146"/>
        <v>3rd CE</v>
      </c>
      <c r="P163" s="29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29"/>
      <c r="AB163" s="29"/>
      <c r="AC163" s="53" t="s">
        <v>181</v>
      </c>
      <c r="AD163" s="53" t="s">
        <v>181</v>
      </c>
      <c r="AE163" s="53" t="s">
        <v>181</v>
      </c>
      <c r="AF163" s="53" t="s">
        <v>181</v>
      </c>
      <c r="AG163" s="53" t="s">
        <v>181</v>
      </c>
      <c r="AH163" s="53" t="s">
        <v>181</v>
      </c>
      <c r="AI163" s="53" t="s">
        <v>181</v>
      </c>
      <c r="AJ163" s="53" t="s">
        <v>181</v>
      </c>
      <c r="AK163" s="53" t="s">
        <v>181</v>
      </c>
      <c r="AL163" s="53" t="s">
        <v>181</v>
      </c>
      <c r="AM163" s="53" t="s">
        <v>181</v>
      </c>
      <c r="AN163" s="53" t="s">
        <v>181</v>
      </c>
      <c r="AO163" s="53" t="s">
        <v>181</v>
      </c>
      <c r="AP163" s="29"/>
      <c r="AQ163" s="32"/>
      <c r="AR163" s="32"/>
    </row>
    <row r="164" spans="1:44">
      <c r="A164" s="29"/>
      <c r="B164" s="29"/>
      <c r="C164" s="41" t="str">
        <f t="shared" ref="C164:O164" si="147">C8</f>
        <v xml:space="preserve">BALANCE </v>
      </c>
      <c r="D164" s="41" t="str">
        <f t="shared" si="147"/>
        <v>JAN</v>
      </c>
      <c r="E164" s="41" t="str">
        <f t="shared" si="147"/>
        <v>FEB</v>
      </c>
      <c r="F164" s="41" t="str">
        <f t="shared" si="147"/>
        <v>MAR</v>
      </c>
      <c r="G164" s="41" t="str">
        <f t="shared" si="147"/>
        <v>APR</v>
      </c>
      <c r="H164" s="41" t="str">
        <f t="shared" si="147"/>
        <v>MAY</v>
      </c>
      <c r="I164" s="41" t="str">
        <f t="shared" si="147"/>
        <v>JUNE</v>
      </c>
      <c r="J164" s="41" t="str">
        <f t="shared" si="147"/>
        <v>JUL</v>
      </c>
      <c r="K164" s="41" t="str">
        <f t="shared" si="147"/>
        <v>AUG</v>
      </c>
      <c r="L164" s="41" t="str">
        <f t="shared" si="147"/>
        <v>SEP</v>
      </c>
      <c r="M164" s="41" t="str">
        <f t="shared" si="147"/>
        <v>OCT</v>
      </c>
      <c r="N164" s="41" t="str">
        <f t="shared" si="147"/>
        <v>NOV</v>
      </c>
      <c r="O164" s="41" t="str">
        <f t="shared" si="147"/>
        <v>DEC</v>
      </c>
      <c r="P164" s="29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29"/>
      <c r="AB164" s="29"/>
      <c r="AC164" s="117" t="s">
        <v>19</v>
      </c>
      <c r="AD164" s="117" t="s">
        <v>8</v>
      </c>
      <c r="AE164" s="117" t="s">
        <v>9</v>
      </c>
      <c r="AF164" s="117" t="s">
        <v>10</v>
      </c>
      <c r="AG164" s="117" t="s">
        <v>11</v>
      </c>
      <c r="AH164" s="117" t="s">
        <v>12</v>
      </c>
      <c r="AI164" s="117" t="s">
        <v>182</v>
      </c>
      <c r="AJ164" s="117" t="s">
        <v>14</v>
      </c>
      <c r="AK164" s="117" t="s">
        <v>15</v>
      </c>
      <c r="AL164" s="117" t="s">
        <v>16</v>
      </c>
      <c r="AM164" s="117" t="s">
        <v>17</v>
      </c>
      <c r="AN164" s="117" t="s">
        <v>18</v>
      </c>
      <c r="AO164" s="117" t="s">
        <v>19</v>
      </c>
      <c r="AP164" s="29"/>
      <c r="AQ164" s="32"/>
      <c r="AR164" s="32"/>
    </row>
    <row r="165" spans="1:44">
      <c r="A165" s="29"/>
      <c r="B165" s="29"/>
      <c r="C165" s="42" t="str">
        <f t="shared" ref="C165:O165" si="148">C9</f>
        <v>12/31/00</v>
      </c>
      <c r="D165" s="42">
        <f t="shared" si="148"/>
        <v>2001</v>
      </c>
      <c r="E165" s="42">
        <f t="shared" si="148"/>
        <v>2001</v>
      </c>
      <c r="F165" s="42">
        <f t="shared" si="148"/>
        <v>2001</v>
      </c>
      <c r="G165" s="42">
        <f t="shared" si="148"/>
        <v>2001</v>
      </c>
      <c r="H165" s="42">
        <f t="shared" si="148"/>
        <v>2001</v>
      </c>
      <c r="I165" s="42">
        <f t="shared" si="148"/>
        <v>2001</v>
      </c>
      <c r="J165" s="42">
        <f t="shared" si="148"/>
        <v>2001</v>
      </c>
      <c r="K165" s="42">
        <f t="shared" si="148"/>
        <v>2001</v>
      </c>
      <c r="L165" s="42">
        <f t="shared" si="148"/>
        <v>2001</v>
      </c>
      <c r="M165" s="42">
        <f t="shared" si="148"/>
        <v>2001</v>
      </c>
      <c r="N165" s="42">
        <f t="shared" si="148"/>
        <v>2001</v>
      </c>
      <c r="O165" s="42">
        <f t="shared" si="148"/>
        <v>2001</v>
      </c>
      <c r="P165" s="51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29"/>
      <c r="AB165" s="29"/>
      <c r="AC165" s="155" t="s">
        <v>257</v>
      </c>
      <c r="AD165" s="155" t="s">
        <v>183</v>
      </c>
      <c r="AE165" s="155" t="s">
        <v>183</v>
      </c>
      <c r="AF165" s="155" t="s">
        <v>183</v>
      </c>
      <c r="AG165" s="155" t="s">
        <v>183</v>
      </c>
      <c r="AH165" s="155" t="s">
        <v>183</v>
      </c>
      <c r="AI165" s="155" t="s">
        <v>183</v>
      </c>
      <c r="AJ165" s="155" t="s">
        <v>183</v>
      </c>
      <c r="AK165" s="155" t="s">
        <v>183</v>
      </c>
      <c r="AL165" s="155" t="s">
        <v>183</v>
      </c>
      <c r="AM165" s="155" t="s">
        <v>183</v>
      </c>
      <c r="AN165" s="155" t="s">
        <v>183</v>
      </c>
      <c r="AO165" s="155" t="s">
        <v>183</v>
      </c>
      <c r="AP165" s="51"/>
      <c r="AQ165" s="32"/>
      <c r="AR165" s="32"/>
    </row>
    <row r="166" spans="1:44" ht="6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</row>
    <row r="167" spans="1:44">
      <c r="A167" s="29"/>
      <c r="B167" s="30" t="s">
        <v>292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29"/>
      <c r="AB167" s="30" t="s">
        <v>292</v>
      </c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</row>
    <row r="168" spans="1:44">
      <c r="A168" s="44" t="s">
        <v>185</v>
      </c>
      <c r="B168" s="45" t="s">
        <v>293</v>
      </c>
      <c r="C168" s="43">
        <f t="shared" ref="C168:O168" si="149">C12</f>
        <v>53</v>
      </c>
      <c r="D168" s="43">
        <f t="shared" si="149"/>
        <v>53</v>
      </c>
      <c r="E168" s="43">
        <f t="shared" si="149"/>
        <v>53</v>
      </c>
      <c r="F168" s="43">
        <f t="shared" si="149"/>
        <v>53</v>
      </c>
      <c r="G168" s="43">
        <f t="shared" si="149"/>
        <v>53</v>
      </c>
      <c r="H168" s="43">
        <f t="shared" si="149"/>
        <v>53</v>
      </c>
      <c r="I168" s="43">
        <f t="shared" si="149"/>
        <v>53</v>
      </c>
      <c r="J168" s="43">
        <f t="shared" si="149"/>
        <v>53</v>
      </c>
      <c r="K168" s="43">
        <f t="shared" si="149"/>
        <v>53</v>
      </c>
      <c r="L168" s="43">
        <f t="shared" si="149"/>
        <v>53</v>
      </c>
      <c r="M168" s="43">
        <f t="shared" si="149"/>
        <v>53</v>
      </c>
      <c r="N168" s="43">
        <f t="shared" si="149"/>
        <v>53</v>
      </c>
      <c r="O168" s="43">
        <f t="shared" si="149"/>
        <v>53</v>
      </c>
      <c r="P168" s="43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44" t="s">
        <v>185</v>
      </c>
      <c r="AB168" s="45" t="s">
        <v>293</v>
      </c>
      <c r="AC168" s="43">
        <f t="shared" ref="AC168:AO168" si="150">AC12</f>
        <v>0</v>
      </c>
      <c r="AD168" s="43">
        <f t="shared" si="150"/>
        <v>0</v>
      </c>
      <c r="AE168" s="43">
        <f t="shared" si="150"/>
        <v>0</v>
      </c>
      <c r="AF168" s="43">
        <f t="shared" si="150"/>
        <v>0</v>
      </c>
      <c r="AG168" s="43">
        <f t="shared" si="150"/>
        <v>0</v>
      </c>
      <c r="AH168" s="43">
        <f t="shared" si="150"/>
        <v>0</v>
      </c>
      <c r="AI168" s="43">
        <f t="shared" si="150"/>
        <v>0</v>
      </c>
      <c r="AJ168" s="43">
        <f t="shared" si="150"/>
        <v>0</v>
      </c>
      <c r="AK168" s="43">
        <f t="shared" si="150"/>
        <v>0</v>
      </c>
      <c r="AL168" s="43">
        <f t="shared" si="150"/>
        <v>0</v>
      </c>
      <c r="AM168" s="43">
        <f t="shared" si="150"/>
        <v>0</v>
      </c>
      <c r="AN168" s="43">
        <f t="shared" si="150"/>
        <v>0</v>
      </c>
      <c r="AO168" s="43">
        <f t="shared" si="150"/>
        <v>0</v>
      </c>
      <c r="AP168" s="43"/>
      <c r="AQ168" s="32"/>
      <c r="AR168" s="32"/>
    </row>
    <row r="169" spans="1:44">
      <c r="A169" s="44" t="s">
        <v>187</v>
      </c>
      <c r="B169" s="45" t="s">
        <v>294</v>
      </c>
      <c r="C169" s="43">
        <f t="shared" ref="C169:O169" si="151">C13</f>
        <v>40542</v>
      </c>
      <c r="D169" s="43">
        <f t="shared" si="151"/>
        <v>44439</v>
      </c>
      <c r="E169" s="43">
        <f t="shared" si="151"/>
        <v>41453</v>
      </c>
      <c r="F169" s="43">
        <f t="shared" si="151"/>
        <v>57404</v>
      </c>
      <c r="G169" s="43">
        <f t="shared" si="151"/>
        <v>40956</v>
      </c>
      <c r="H169" s="43">
        <f t="shared" si="151"/>
        <v>30453</v>
      </c>
      <c r="I169" s="43">
        <f t="shared" si="151"/>
        <v>36741</v>
      </c>
      <c r="J169" s="43">
        <f t="shared" si="151"/>
        <v>29898</v>
      </c>
      <c r="K169" s="43">
        <f t="shared" si="151"/>
        <v>29869</v>
      </c>
      <c r="L169" s="43">
        <f t="shared" si="151"/>
        <v>28120</v>
      </c>
      <c r="M169" s="43">
        <f t="shared" si="151"/>
        <v>27501</v>
      </c>
      <c r="N169" s="43">
        <f t="shared" si="151"/>
        <v>56488</v>
      </c>
      <c r="O169" s="43">
        <f t="shared" si="151"/>
        <v>57686</v>
      </c>
      <c r="P169" s="43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44" t="s">
        <v>187</v>
      </c>
      <c r="AB169" s="45" t="s">
        <v>294</v>
      </c>
      <c r="AC169" s="43">
        <f t="shared" ref="AC169:AO169" si="152">AC13</f>
        <v>0</v>
      </c>
      <c r="AD169" s="43">
        <f t="shared" si="152"/>
        <v>0</v>
      </c>
      <c r="AE169" s="43">
        <f t="shared" si="152"/>
        <v>0</v>
      </c>
      <c r="AF169" s="43">
        <f t="shared" si="152"/>
        <v>0</v>
      </c>
      <c r="AG169" s="43">
        <f t="shared" si="152"/>
        <v>0</v>
      </c>
      <c r="AH169" s="43">
        <f t="shared" si="152"/>
        <v>0</v>
      </c>
      <c r="AI169" s="43">
        <f t="shared" si="152"/>
        <v>0</v>
      </c>
      <c r="AJ169" s="43">
        <f t="shared" si="152"/>
        <v>0</v>
      </c>
      <c r="AK169" s="43">
        <f t="shared" si="152"/>
        <v>0</v>
      </c>
      <c r="AL169" s="43">
        <f t="shared" si="152"/>
        <v>0</v>
      </c>
      <c r="AM169" s="43">
        <f t="shared" si="152"/>
        <v>0</v>
      </c>
      <c r="AN169" s="43">
        <f t="shared" si="152"/>
        <v>0</v>
      </c>
      <c r="AO169" s="43">
        <f t="shared" si="152"/>
        <v>0</v>
      </c>
      <c r="AP169" s="43"/>
      <c r="AQ169" s="32"/>
      <c r="AR169" s="32"/>
    </row>
    <row r="170" spans="1:44">
      <c r="A170" s="44" t="s">
        <v>189</v>
      </c>
      <c r="B170" s="55" t="s">
        <v>295</v>
      </c>
      <c r="C170" s="43">
        <f>C14+C15</f>
        <v>323157</v>
      </c>
      <c r="D170" s="43">
        <f t="shared" ref="D170:O170" si="153">D14+D15</f>
        <v>354521</v>
      </c>
      <c r="E170" s="43">
        <f t="shared" si="153"/>
        <v>325427</v>
      </c>
      <c r="F170" s="43">
        <f t="shared" si="153"/>
        <v>333719</v>
      </c>
      <c r="G170" s="43">
        <f t="shared" si="153"/>
        <v>381176</v>
      </c>
      <c r="H170" s="43">
        <f t="shared" si="153"/>
        <v>394521</v>
      </c>
      <c r="I170" s="43">
        <f t="shared" si="153"/>
        <v>392128</v>
      </c>
      <c r="J170" s="43">
        <f t="shared" si="153"/>
        <v>403145</v>
      </c>
      <c r="K170" s="43">
        <f t="shared" si="153"/>
        <v>415159</v>
      </c>
      <c r="L170" s="43">
        <f t="shared" si="153"/>
        <v>409759</v>
      </c>
      <c r="M170" s="43">
        <f t="shared" si="153"/>
        <v>393159</v>
      </c>
      <c r="N170" s="43">
        <f t="shared" si="153"/>
        <v>371159</v>
      </c>
      <c r="O170" s="43">
        <f t="shared" si="153"/>
        <v>356859</v>
      </c>
      <c r="P170" s="43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44" t="s">
        <v>189</v>
      </c>
      <c r="AB170" s="55" t="s">
        <v>295</v>
      </c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32"/>
      <c r="AR170" s="32"/>
    </row>
    <row r="171" spans="1:44">
      <c r="A171" s="44" t="s">
        <v>192</v>
      </c>
      <c r="B171" s="45" t="s">
        <v>296</v>
      </c>
      <c r="C171" s="43">
        <f t="shared" ref="C171:O171" si="154">C17+C18</f>
        <v>5865</v>
      </c>
      <c r="D171" s="43">
        <f t="shared" si="154"/>
        <v>5860</v>
      </c>
      <c r="E171" s="43">
        <f t="shared" si="154"/>
        <v>5857</v>
      </c>
      <c r="F171" s="43">
        <f t="shared" si="154"/>
        <v>4596</v>
      </c>
      <c r="G171" s="43">
        <f t="shared" si="154"/>
        <v>4586</v>
      </c>
      <c r="H171" s="43">
        <f t="shared" si="154"/>
        <v>4389</v>
      </c>
      <c r="I171" s="43">
        <f t="shared" si="154"/>
        <v>4372</v>
      </c>
      <c r="J171" s="43">
        <f t="shared" si="154"/>
        <v>4373</v>
      </c>
      <c r="K171" s="43">
        <f t="shared" si="154"/>
        <v>4373</v>
      </c>
      <c r="L171" s="43">
        <f t="shared" si="154"/>
        <v>4373</v>
      </c>
      <c r="M171" s="43">
        <f t="shared" si="154"/>
        <v>4373</v>
      </c>
      <c r="N171" s="43">
        <f t="shared" si="154"/>
        <v>4373</v>
      </c>
      <c r="O171" s="43">
        <f t="shared" si="154"/>
        <v>4373</v>
      </c>
      <c r="P171" s="43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44" t="s">
        <v>192</v>
      </c>
      <c r="AB171" s="45" t="s">
        <v>296</v>
      </c>
      <c r="AC171" s="43">
        <f t="shared" ref="AC171:AO171" si="155">AC17+AC18</f>
        <v>0</v>
      </c>
      <c r="AD171" s="43">
        <f t="shared" si="155"/>
        <v>0</v>
      </c>
      <c r="AE171" s="43">
        <f t="shared" si="155"/>
        <v>0</v>
      </c>
      <c r="AF171" s="43">
        <f t="shared" si="155"/>
        <v>0</v>
      </c>
      <c r="AG171" s="43">
        <f t="shared" si="155"/>
        <v>0</v>
      </c>
      <c r="AH171" s="43">
        <f t="shared" si="155"/>
        <v>0</v>
      </c>
      <c r="AI171" s="43">
        <f t="shared" si="155"/>
        <v>0</v>
      </c>
      <c r="AJ171" s="43">
        <f t="shared" si="155"/>
        <v>0</v>
      </c>
      <c r="AK171" s="43">
        <f t="shared" si="155"/>
        <v>0</v>
      </c>
      <c r="AL171" s="43">
        <f t="shared" si="155"/>
        <v>0</v>
      </c>
      <c r="AM171" s="43">
        <f t="shared" si="155"/>
        <v>0</v>
      </c>
      <c r="AN171" s="43">
        <f t="shared" si="155"/>
        <v>0</v>
      </c>
      <c r="AO171" s="43">
        <f t="shared" si="155"/>
        <v>0</v>
      </c>
      <c r="AP171" s="43"/>
      <c r="AQ171" s="32"/>
      <c r="AR171" s="32"/>
    </row>
    <row r="172" spans="1:44">
      <c r="A172" s="44" t="s">
        <v>195</v>
      </c>
      <c r="B172" s="45" t="s">
        <v>297</v>
      </c>
      <c r="C172" s="43">
        <f t="shared" ref="C172:O172" si="156">C19+C20+C21+C24</f>
        <v>81166</v>
      </c>
      <c r="D172" s="43">
        <f t="shared" si="156"/>
        <v>82757</v>
      </c>
      <c r="E172" s="43">
        <f t="shared" si="156"/>
        <v>76372</v>
      </c>
      <c r="F172" s="43">
        <f t="shared" si="156"/>
        <v>62335</v>
      </c>
      <c r="G172" s="43">
        <f t="shared" si="156"/>
        <v>58587</v>
      </c>
      <c r="H172" s="43">
        <f t="shared" si="156"/>
        <v>52998</v>
      </c>
      <c r="I172" s="43">
        <f t="shared" si="156"/>
        <v>58226</v>
      </c>
      <c r="J172" s="43">
        <f t="shared" si="156"/>
        <v>42500</v>
      </c>
      <c r="K172" s="43">
        <f t="shared" si="156"/>
        <v>42500</v>
      </c>
      <c r="L172" s="43">
        <f t="shared" si="156"/>
        <v>42500</v>
      </c>
      <c r="M172" s="43">
        <f t="shared" si="156"/>
        <v>42500</v>
      </c>
      <c r="N172" s="43">
        <f t="shared" si="156"/>
        <v>42500</v>
      </c>
      <c r="O172" s="43">
        <f t="shared" si="156"/>
        <v>43580</v>
      </c>
      <c r="P172" s="43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44" t="s">
        <v>195</v>
      </c>
      <c r="AB172" s="45" t="s">
        <v>297</v>
      </c>
      <c r="AC172" s="43">
        <f t="shared" ref="AC172:AO172" si="157">AC19+AC20+AC21+AC24</f>
        <v>0</v>
      </c>
      <c r="AD172" s="43">
        <f t="shared" si="157"/>
        <v>0</v>
      </c>
      <c r="AE172" s="43">
        <f t="shared" si="157"/>
        <v>0</v>
      </c>
      <c r="AF172" s="43">
        <f t="shared" si="157"/>
        <v>0</v>
      </c>
      <c r="AG172" s="43">
        <f t="shared" si="157"/>
        <v>0</v>
      </c>
      <c r="AH172" s="43">
        <f t="shared" si="157"/>
        <v>0</v>
      </c>
      <c r="AI172" s="43">
        <f t="shared" si="157"/>
        <v>0</v>
      </c>
      <c r="AJ172" s="43">
        <f t="shared" si="157"/>
        <v>0</v>
      </c>
      <c r="AK172" s="43">
        <f t="shared" si="157"/>
        <v>0</v>
      </c>
      <c r="AL172" s="43">
        <f t="shared" si="157"/>
        <v>0</v>
      </c>
      <c r="AM172" s="43">
        <f t="shared" si="157"/>
        <v>0</v>
      </c>
      <c r="AN172" s="43">
        <f t="shared" si="157"/>
        <v>0</v>
      </c>
      <c r="AO172" s="43">
        <f t="shared" si="157"/>
        <v>0</v>
      </c>
      <c r="AP172" s="43"/>
      <c r="AQ172" s="32"/>
      <c r="AR172" s="32"/>
    </row>
    <row r="173" spans="1:44">
      <c r="A173" s="44" t="s">
        <v>203</v>
      </c>
      <c r="B173" s="45" t="s">
        <v>298</v>
      </c>
      <c r="C173" s="43">
        <f t="shared" ref="C173:O173" si="158">C34</f>
        <v>80795</v>
      </c>
      <c r="D173" s="43">
        <f t="shared" si="158"/>
        <v>87062</v>
      </c>
      <c r="E173" s="43">
        <f t="shared" si="158"/>
        <v>93654</v>
      </c>
      <c r="F173" s="43">
        <f t="shared" si="158"/>
        <v>90490</v>
      </c>
      <c r="G173" s="43">
        <f t="shared" si="158"/>
        <v>93286</v>
      </c>
      <c r="H173" s="43">
        <f t="shared" si="158"/>
        <v>81697</v>
      </c>
      <c r="I173" s="43">
        <f t="shared" si="158"/>
        <v>64629</v>
      </c>
      <c r="J173" s="43">
        <f t="shared" si="158"/>
        <v>63112</v>
      </c>
      <c r="K173" s="43">
        <f t="shared" si="158"/>
        <v>61354</v>
      </c>
      <c r="L173" s="43">
        <f t="shared" si="158"/>
        <v>60850</v>
      </c>
      <c r="M173" s="43">
        <f t="shared" si="158"/>
        <v>61147</v>
      </c>
      <c r="N173" s="43">
        <f t="shared" si="158"/>
        <v>61461</v>
      </c>
      <c r="O173" s="43">
        <f t="shared" si="158"/>
        <v>60649</v>
      </c>
      <c r="P173" s="43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44" t="s">
        <v>203</v>
      </c>
      <c r="AB173" s="45" t="s">
        <v>298</v>
      </c>
      <c r="AC173" s="43">
        <f t="shared" ref="AC173:AO173" si="159">AC34</f>
        <v>48163</v>
      </c>
      <c r="AD173" s="43">
        <f t="shared" si="159"/>
        <v>48660</v>
      </c>
      <c r="AE173" s="43">
        <f t="shared" si="159"/>
        <v>48961</v>
      </c>
      <c r="AF173" s="43">
        <f t="shared" si="159"/>
        <v>48445</v>
      </c>
      <c r="AG173" s="43">
        <f t="shared" si="159"/>
        <v>49702</v>
      </c>
      <c r="AH173" s="43">
        <f t="shared" si="159"/>
        <v>49991</v>
      </c>
      <c r="AI173" s="43">
        <f t="shared" si="159"/>
        <v>46599</v>
      </c>
      <c r="AJ173" s="43">
        <f t="shared" si="159"/>
        <v>46906</v>
      </c>
      <c r="AK173" s="43">
        <f t="shared" si="159"/>
        <v>45148</v>
      </c>
      <c r="AL173" s="43">
        <f t="shared" si="159"/>
        <v>44644</v>
      </c>
      <c r="AM173" s="43">
        <f t="shared" si="159"/>
        <v>44941</v>
      </c>
      <c r="AN173" s="43">
        <f t="shared" si="159"/>
        <v>45255</v>
      </c>
      <c r="AO173" s="43">
        <f t="shared" si="159"/>
        <v>44443</v>
      </c>
      <c r="AP173" s="43"/>
      <c r="AQ173" s="32"/>
      <c r="AR173" s="32"/>
    </row>
    <row r="174" spans="1:44">
      <c r="A174" s="44" t="s">
        <v>208</v>
      </c>
      <c r="B174" s="45" t="s">
        <v>299</v>
      </c>
      <c r="C174" s="43">
        <f t="shared" ref="C174:O174" si="160">C40</f>
        <v>1301029</v>
      </c>
      <c r="D174" s="43">
        <f t="shared" si="160"/>
        <v>1343063</v>
      </c>
      <c r="E174" s="43">
        <f t="shared" si="160"/>
        <v>1349490</v>
      </c>
      <c r="F174" s="43">
        <f t="shared" si="160"/>
        <v>1348147</v>
      </c>
      <c r="G174" s="43">
        <f t="shared" si="160"/>
        <v>1339442</v>
      </c>
      <c r="H174" s="43">
        <f t="shared" si="160"/>
        <v>1333049</v>
      </c>
      <c r="I174" s="43">
        <f t="shared" si="160"/>
        <v>1325364</v>
      </c>
      <c r="J174" s="43">
        <f t="shared" si="160"/>
        <v>1324110</v>
      </c>
      <c r="K174" s="43">
        <f t="shared" si="160"/>
        <v>1328806</v>
      </c>
      <c r="L174" s="43">
        <f t="shared" si="160"/>
        <v>1336361</v>
      </c>
      <c r="M174" s="43">
        <f t="shared" si="160"/>
        <v>1340177</v>
      </c>
      <c r="N174" s="43">
        <f t="shared" si="160"/>
        <v>1345241</v>
      </c>
      <c r="O174" s="43">
        <f t="shared" si="160"/>
        <v>1345866</v>
      </c>
      <c r="P174" s="43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44" t="s">
        <v>208</v>
      </c>
      <c r="AB174" s="45" t="s">
        <v>299</v>
      </c>
      <c r="AC174" s="43">
        <f t="shared" ref="AC174:AO174" si="161">AC40</f>
        <v>0</v>
      </c>
      <c r="AD174" s="43">
        <f t="shared" si="161"/>
        <v>0</v>
      </c>
      <c r="AE174" s="43">
        <f t="shared" si="161"/>
        <v>0</v>
      </c>
      <c r="AF174" s="43">
        <f t="shared" si="161"/>
        <v>0</v>
      </c>
      <c r="AG174" s="43">
        <f t="shared" si="161"/>
        <v>0</v>
      </c>
      <c r="AH174" s="43">
        <f t="shared" si="161"/>
        <v>0</v>
      </c>
      <c r="AI174" s="43">
        <f t="shared" si="161"/>
        <v>0</v>
      </c>
      <c r="AJ174" s="43">
        <f t="shared" si="161"/>
        <v>0</v>
      </c>
      <c r="AK174" s="43">
        <f t="shared" si="161"/>
        <v>0</v>
      </c>
      <c r="AL174" s="43">
        <f t="shared" si="161"/>
        <v>0</v>
      </c>
      <c r="AM174" s="43">
        <f t="shared" si="161"/>
        <v>0</v>
      </c>
      <c r="AN174" s="43">
        <f t="shared" si="161"/>
        <v>0</v>
      </c>
      <c r="AO174" s="43">
        <f t="shared" si="161"/>
        <v>0</v>
      </c>
      <c r="AP174" s="43"/>
      <c r="AQ174" s="32"/>
      <c r="AR174" s="32"/>
    </row>
    <row r="175" spans="1:44">
      <c r="A175" s="32"/>
      <c r="B175" s="45" t="s">
        <v>300</v>
      </c>
      <c r="C175" s="46">
        <v>0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43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45" t="s">
        <v>300</v>
      </c>
      <c r="AC175" s="46">
        <v>0</v>
      </c>
      <c r="AD175" s="46">
        <v>0</v>
      </c>
      <c r="AE175" s="46">
        <v>0</v>
      </c>
      <c r="AF175" s="46">
        <v>0</v>
      </c>
      <c r="AG175" s="46">
        <v>0</v>
      </c>
      <c r="AH175" s="46">
        <v>0</v>
      </c>
      <c r="AI175" s="46">
        <v>0</v>
      </c>
      <c r="AJ175" s="46">
        <v>0</v>
      </c>
      <c r="AK175" s="46">
        <v>0</v>
      </c>
      <c r="AL175" s="46">
        <v>0</v>
      </c>
      <c r="AM175" s="46">
        <v>0</v>
      </c>
      <c r="AN175" s="46">
        <v>0</v>
      </c>
      <c r="AO175" s="46">
        <v>0</v>
      </c>
      <c r="AP175" s="43"/>
      <c r="AQ175" s="32"/>
      <c r="AR175" s="32"/>
    </row>
    <row r="176" spans="1:44">
      <c r="A176" s="44" t="s">
        <v>211</v>
      </c>
      <c r="B176" s="45" t="s">
        <v>301</v>
      </c>
      <c r="C176" s="43">
        <f t="shared" ref="C176:O176" si="162">C45</f>
        <v>205563</v>
      </c>
      <c r="D176" s="43">
        <f t="shared" si="162"/>
        <v>208335</v>
      </c>
      <c r="E176" s="43">
        <f t="shared" si="162"/>
        <v>204840</v>
      </c>
      <c r="F176" s="43">
        <f t="shared" si="162"/>
        <v>204494</v>
      </c>
      <c r="G176" s="43">
        <f t="shared" si="162"/>
        <v>202992</v>
      </c>
      <c r="H176" s="43">
        <f t="shared" si="162"/>
        <v>198687</v>
      </c>
      <c r="I176" s="43">
        <f t="shared" si="162"/>
        <v>195422</v>
      </c>
      <c r="J176" s="43">
        <f t="shared" si="162"/>
        <v>192000</v>
      </c>
      <c r="K176" s="43">
        <f t="shared" si="162"/>
        <v>191659</v>
      </c>
      <c r="L176" s="43">
        <f t="shared" si="162"/>
        <v>191241</v>
      </c>
      <c r="M176" s="43">
        <f t="shared" si="162"/>
        <v>190924</v>
      </c>
      <c r="N176" s="43">
        <f t="shared" si="162"/>
        <v>190006</v>
      </c>
      <c r="O176" s="43">
        <f t="shared" si="162"/>
        <v>199792</v>
      </c>
      <c r="P176" s="43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44" t="s">
        <v>211</v>
      </c>
      <c r="AB176" s="45" t="s">
        <v>301</v>
      </c>
      <c r="AC176" s="43">
        <f t="shared" ref="AC176:AO176" si="163">AC45</f>
        <v>0</v>
      </c>
      <c r="AD176" s="43">
        <f t="shared" si="163"/>
        <v>0</v>
      </c>
      <c r="AE176" s="43">
        <f t="shared" si="163"/>
        <v>0</v>
      </c>
      <c r="AF176" s="43">
        <f t="shared" si="163"/>
        <v>0</v>
      </c>
      <c r="AG176" s="43">
        <f t="shared" si="163"/>
        <v>0</v>
      </c>
      <c r="AH176" s="43">
        <f t="shared" si="163"/>
        <v>0</v>
      </c>
      <c r="AI176" s="43">
        <f t="shared" si="163"/>
        <v>0</v>
      </c>
      <c r="AJ176" s="43">
        <f t="shared" si="163"/>
        <v>0</v>
      </c>
      <c r="AK176" s="43">
        <f t="shared" si="163"/>
        <v>0</v>
      </c>
      <c r="AL176" s="43">
        <f t="shared" si="163"/>
        <v>0</v>
      </c>
      <c r="AM176" s="43">
        <f t="shared" si="163"/>
        <v>0</v>
      </c>
      <c r="AN176" s="43">
        <f t="shared" si="163"/>
        <v>0</v>
      </c>
      <c r="AO176" s="43">
        <f t="shared" si="163"/>
        <v>0</v>
      </c>
      <c r="AP176" s="43"/>
      <c r="AQ176" s="32"/>
      <c r="AR176" s="32"/>
    </row>
    <row r="177" spans="1:44">
      <c r="A177" s="44" t="s">
        <v>199</v>
      </c>
      <c r="B177" s="45" t="s">
        <v>302</v>
      </c>
      <c r="C177" s="43">
        <f t="shared" ref="C177:O177" si="164">C23+C44</f>
        <v>0</v>
      </c>
      <c r="D177" s="43">
        <f t="shared" si="164"/>
        <v>0</v>
      </c>
      <c r="E177" s="43">
        <f t="shared" si="164"/>
        <v>0</v>
      </c>
      <c r="F177" s="43">
        <f t="shared" si="164"/>
        <v>0</v>
      </c>
      <c r="G177" s="43">
        <f t="shared" si="164"/>
        <v>0</v>
      </c>
      <c r="H177" s="43">
        <f t="shared" si="164"/>
        <v>0</v>
      </c>
      <c r="I177" s="43">
        <f t="shared" si="164"/>
        <v>0</v>
      </c>
      <c r="J177" s="43">
        <f t="shared" si="164"/>
        <v>0</v>
      </c>
      <c r="K177" s="43">
        <f t="shared" si="164"/>
        <v>0</v>
      </c>
      <c r="L177" s="43">
        <f t="shared" si="164"/>
        <v>0</v>
      </c>
      <c r="M177" s="43">
        <f t="shared" si="164"/>
        <v>0</v>
      </c>
      <c r="N177" s="43">
        <f t="shared" si="164"/>
        <v>0</v>
      </c>
      <c r="O177" s="43">
        <f t="shared" si="164"/>
        <v>0</v>
      </c>
      <c r="P177" s="43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44" t="s">
        <v>199</v>
      </c>
      <c r="AB177" s="45" t="s">
        <v>302</v>
      </c>
      <c r="AC177" s="43">
        <f t="shared" ref="AC177:AO177" si="165">AC23+AC44</f>
        <v>0</v>
      </c>
      <c r="AD177" s="43">
        <f t="shared" si="165"/>
        <v>0</v>
      </c>
      <c r="AE177" s="43">
        <f t="shared" si="165"/>
        <v>0</v>
      </c>
      <c r="AF177" s="43">
        <f t="shared" si="165"/>
        <v>0</v>
      </c>
      <c r="AG177" s="43">
        <f t="shared" si="165"/>
        <v>0</v>
      </c>
      <c r="AH177" s="43">
        <f t="shared" si="165"/>
        <v>0</v>
      </c>
      <c r="AI177" s="43">
        <f t="shared" si="165"/>
        <v>0</v>
      </c>
      <c r="AJ177" s="43">
        <f t="shared" si="165"/>
        <v>0</v>
      </c>
      <c r="AK177" s="43">
        <f t="shared" si="165"/>
        <v>0</v>
      </c>
      <c r="AL177" s="43">
        <f t="shared" si="165"/>
        <v>0</v>
      </c>
      <c r="AM177" s="43">
        <f t="shared" si="165"/>
        <v>0</v>
      </c>
      <c r="AN177" s="43">
        <f t="shared" si="165"/>
        <v>0</v>
      </c>
      <c r="AO177" s="43">
        <f t="shared" si="165"/>
        <v>0</v>
      </c>
      <c r="AP177" s="43"/>
      <c r="AQ177" s="32"/>
      <c r="AR177" s="32"/>
    </row>
    <row r="178" spans="1:44">
      <c r="A178" s="32"/>
      <c r="B178" s="45" t="s">
        <v>303</v>
      </c>
      <c r="C178" s="46">
        <v>0</v>
      </c>
      <c r="D178" s="46">
        <v>0</v>
      </c>
      <c r="E178" s="46">
        <v>0</v>
      </c>
      <c r="F178" s="46">
        <v>0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43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45" t="s">
        <v>303</v>
      </c>
      <c r="AC178" s="46">
        <v>0</v>
      </c>
      <c r="AD178" s="46">
        <v>0</v>
      </c>
      <c r="AE178" s="46">
        <v>0</v>
      </c>
      <c r="AF178" s="46">
        <v>0</v>
      </c>
      <c r="AG178" s="46">
        <v>0</v>
      </c>
      <c r="AH178" s="46">
        <v>0</v>
      </c>
      <c r="AI178" s="46">
        <v>0</v>
      </c>
      <c r="AJ178" s="46">
        <v>0</v>
      </c>
      <c r="AK178" s="46">
        <v>0</v>
      </c>
      <c r="AL178" s="46">
        <v>0</v>
      </c>
      <c r="AM178" s="46">
        <v>0</v>
      </c>
      <c r="AN178" s="46">
        <v>0</v>
      </c>
      <c r="AO178" s="46">
        <v>0</v>
      </c>
      <c r="AP178" s="43"/>
      <c r="AQ178" s="32"/>
      <c r="AR178" s="32"/>
    </row>
    <row r="179" spans="1:44">
      <c r="A179" s="44" t="s">
        <v>213</v>
      </c>
      <c r="B179" s="45" t="s">
        <v>304</v>
      </c>
      <c r="C179" s="47">
        <f t="shared" ref="C179:O179" si="166">C47</f>
        <v>9150</v>
      </c>
      <c r="D179" s="47">
        <f t="shared" si="166"/>
        <v>8391</v>
      </c>
      <c r="E179" s="47">
        <f t="shared" si="166"/>
        <v>10015</v>
      </c>
      <c r="F179" s="47">
        <f t="shared" si="166"/>
        <v>9127</v>
      </c>
      <c r="G179" s="47">
        <f t="shared" si="166"/>
        <v>9335</v>
      </c>
      <c r="H179" s="47">
        <f t="shared" si="166"/>
        <v>9572</v>
      </c>
      <c r="I179" s="47">
        <f t="shared" si="166"/>
        <v>10257</v>
      </c>
      <c r="J179" s="47">
        <f t="shared" si="166"/>
        <v>10958</v>
      </c>
      <c r="K179" s="47">
        <f t="shared" si="166"/>
        <v>10960</v>
      </c>
      <c r="L179" s="47">
        <f t="shared" si="166"/>
        <v>10959</v>
      </c>
      <c r="M179" s="47">
        <f t="shared" si="166"/>
        <v>10960</v>
      </c>
      <c r="N179" s="47">
        <f t="shared" si="166"/>
        <v>10889</v>
      </c>
      <c r="O179" s="47">
        <f t="shared" si="166"/>
        <v>10121</v>
      </c>
      <c r="P179" s="47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44" t="s">
        <v>213</v>
      </c>
      <c r="AB179" s="45" t="s">
        <v>304</v>
      </c>
      <c r="AC179" s="47">
        <f t="shared" ref="AC179:AO179" si="167">AC46+AC47</f>
        <v>0</v>
      </c>
      <c r="AD179" s="47">
        <f t="shared" si="167"/>
        <v>0</v>
      </c>
      <c r="AE179" s="47">
        <f t="shared" si="167"/>
        <v>0</v>
      </c>
      <c r="AF179" s="47">
        <f t="shared" si="167"/>
        <v>0</v>
      </c>
      <c r="AG179" s="47">
        <f t="shared" si="167"/>
        <v>0</v>
      </c>
      <c r="AH179" s="47">
        <f t="shared" si="167"/>
        <v>0</v>
      </c>
      <c r="AI179" s="47">
        <f t="shared" si="167"/>
        <v>0</v>
      </c>
      <c r="AJ179" s="47">
        <f t="shared" si="167"/>
        <v>0</v>
      </c>
      <c r="AK179" s="47">
        <f t="shared" si="167"/>
        <v>0</v>
      </c>
      <c r="AL179" s="47">
        <f t="shared" si="167"/>
        <v>0</v>
      </c>
      <c r="AM179" s="47">
        <f t="shared" si="167"/>
        <v>0</v>
      </c>
      <c r="AN179" s="47">
        <f t="shared" si="167"/>
        <v>0</v>
      </c>
      <c r="AO179" s="47">
        <f t="shared" si="167"/>
        <v>0</v>
      </c>
      <c r="AP179" s="47"/>
      <c r="AQ179" s="32"/>
      <c r="AR179" s="32"/>
    </row>
    <row r="180" spans="1:44" ht="3.9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</row>
    <row r="181" spans="1:44">
      <c r="A181" s="29"/>
      <c r="B181" s="30" t="s">
        <v>305</v>
      </c>
      <c r="C181" s="49">
        <f t="shared" ref="C181:O181" si="168">SUM(C168:C180)</f>
        <v>2047320</v>
      </c>
      <c r="D181" s="49">
        <f t="shared" si="168"/>
        <v>2134481</v>
      </c>
      <c r="E181" s="49">
        <f t="shared" si="168"/>
        <v>2107161</v>
      </c>
      <c r="F181" s="49">
        <f t="shared" si="168"/>
        <v>2110365</v>
      </c>
      <c r="G181" s="49">
        <f t="shared" si="168"/>
        <v>2130413</v>
      </c>
      <c r="H181" s="49">
        <f t="shared" si="168"/>
        <v>2105419</v>
      </c>
      <c r="I181" s="49">
        <f t="shared" si="168"/>
        <v>2087192</v>
      </c>
      <c r="J181" s="49">
        <f t="shared" si="168"/>
        <v>2070149</v>
      </c>
      <c r="K181" s="49">
        <f t="shared" si="168"/>
        <v>2084733</v>
      </c>
      <c r="L181" s="49">
        <f t="shared" si="168"/>
        <v>2084216</v>
      </c>
      <c r="M181" s="49">
        <f t="shared" si="168"/>
        <v>2070794</v>
      </c>
      <c r="N181" s="49">
        <f t="shared" si="168"/>
        <v>2082170</v>
      </c>
      <c r="O181" s="49">
        <f t="shared" si="168"/>
        <v>2078979</v>
      </c>
      <c r="P181" s="47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29"/>
      <c r="AB181" s="30" t="s">
        <v>305</v>
      </c>
      <c r="AC181" s="49">
        <f t="shared" ref="AC181:AO181" si="169">SUM(AC168:AC180)</f>
        <v>48163</v>
      </c>
      <c r="AD181" s="49">
        <f t="shared" si="169"/>
        <v>48660</v>
      </c>
      <c r="AE181" s="49">
        <f t="shared" si="169"/>
        <v>48961</v>
      </c>
      <c r="AF181" s="49">
        <f t="shared" si="169"/>
        <v>48445</v>
      </c>
      <c r="AG181" s="49">
        <f t="shared" si="169"/>
        <v>49702</v>
      </c>
      <c r="AH181" s="49">
        <f t="shared" si="169"/>
        <v>49991</v>
      </c>
      <c r="AI181" s="49">
        <f t="shared" si="169"/>
        <v>46599</v>
      </c>
      <c r="AJ181" s="49">
        <f t="shared" si="169"/>
        <v>46906</v>
      </c>
      <c r="AK181" s="49">
        <f t="shared" si="169"/>
        <v>45148</v>
      </c>
      <c r="AL181" s="49">
        <f t="shared" si="169"/>
        <v>44644</v>
      </c>
      <c r="AM181" s="49">
        <f t="shared" si="169"/>
        <v>44941</v>
      </c>
      <c r="AN181" s="49">
        <f t="shared" si="169"/>
        <v>45255</v>
      </c>
      <c r="AO181" s="49">
        <f t="shared" si="169"/>
        <v>44443</v>
      </c>
      <c r="AP181" s="47"/>
      <c r="AQ181" s="32"/>
      <c r="AR181" s="32"/>
    </row>
    <row r="182" spans="1:44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</row>
    <row r="183" spans="1:44">
      <c r="A183" s="29"/>
      <c r="B183" s="29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29"/>
      <c r="AB183" s="29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</row>
    <row r="184" spans="1:44">
      <c r="A184" s="29"/>
      <c r="B184" s="30" t="s">
        <v>306</v>
      </c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29"/>
      <c r="AB184" s="30" t="s">
        <v>306</v>
      </c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32"/>
      <c r="AQ184" s="32"/>
      <c r="AR184" s="32"/>
    </row>
    <row r="185" spans="1:44">
      <c r="A185" s="44" t="s">
        <v>218</v>
      </c>
      <c r="B185" s="45" t="s">
        <v>307</v>
      </c>
      <c r="C185" s="43">
        <f>C59+C60</f>
        <v>31722</v>
      </c>
      <c r="D185" s="43">
        <f t="shared" ref="D185:O185" si="170">D59+D60</f>
        <v>52229</v>
      </c>
      <c r="E185" s="43">
        <f t="shared" si="170"/>
        <v>12858</v>
      </c>
      <c r="F185" s="43">
        <f t="shared" si="170"/>
        <v>24601</v>
      </c>
      <c r="G185" s="43">
        <f t="shared" si="170"/>
        <v>10969</v>
      </c>
      <c r="H185" s="43">
        <f t="shared" si="170"/>
        <v>10668</v>
      </c>
      <c r="I185" s="43">
        <f t="shared" si="170"/>
        <v>12070</v>
      </c>
      <c r="J185" s="43">
        <f t="shared" si="170"/>
        <v>13366</v>
      </c>
      <c r="K185" s="43">
        <f t="shared" si="170"/>
        <v>17125</v>
      </c>
      <c r="L185" s="43">
        <f t="shared" si="170"/>
        <v>19075</v>
      </c>
      <c r="M185" s="43">
        <f t="shared" si="170"/>
        <v>15080</v>
      </c>
      <c r="N185" s="43">
        <f t="shared" si="170"/>
        <v>9139</v>
      </c>
      <c r="O185" s="43">
        <f t="shared" si="170"/>
        <v>8008</v>
      </c>
      <c r="P185" s="43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44" t="s">
        <v>218</v>
      </c>
      <c r="AB185" s="45" t="s">
        <v>307</v>
      </c>
      <c r="AC185" s="43" t="e">
        <f t="shared" ref="AC185:AO185" si="171">AC59+#REF!+AC60</f>
        <v>#REF!</v>
      </c>
      <c r="AD185" s="43" t="e">
        <f t="shared" si="171"/>
        <v>#REF!</v>
      </c>
      <c r="AE185" s="43" t="e">
        <f t="shared" si="171"/>
        <v>#REF!</v>
      </c>
      <c r="AF185" s="43" t="e">
        <f t="shared" si="171"/>
        <v>#REF!</v>
      </c>
      <c r="AG185" s="43" t="e">
        <f t="shared" si="171"/>
        <v>#REF!</v>
      </c>
      <c r="AH185" s="43" t="e">
        <f t="shared" si="171"/>
        <v>#REF!</v>
      </c>
      <c r="AI185" s="43" t="e">
        <f t="shared" si="171"/>
        <v>#REF!</v>
      </c>
      <c r="AJ185" s="43" t="e">
        <f t="shared" si="171"/>
        <v>#REF!</v>
      </c>
      <c r="AK185" s="43" t="e">
        <f t="shared" si="171"/>
        <v>#REF!</v>
      </c>
      <c r="AL185" s="43" t="e">
        <f t="shared" si="171"/>
        <v>#REF!</v>
      </c>
      <c r="AM185" s="43" t="e">
        <f t="shared" si="171"/>
        <v>#REF!</v>
      </c>
      <c r="AN185" s="43" t="e">
        <f t="shared" si="171"/>
        <v>#REF!</v>
      </c>
      <c r="AO185" s="43" t="e">
        <f t="shared" si="171"/>
        <v>#REF!</v>
      </c>
      <c r="AP185" s="43"/>
      <c r="AQ185" s="32"/>
      <c r="AR185" s="32"/>
    </row>
    <row r="186" spans="1:44">
      <c r="A186" s="44" t="s">
        <v>221</v>
      </c>
      <c r="B186" s="45" t="s">
        <v>308</v>
      </c>
      <c r="C186" s="43">
        <f t="shared" ref="C186:O186" si="172">C62+C63+C65</f>
        <v>100839</v>
      </c>
      <c r="D186" s="43">
        <f t="shared" si="172"/>
        <v>135163</v>
      </c>
      <c r="E186" s="43">
        <f t="shared" si="172"/>
        <v>127679</v>
      </c>
      <c r="F186" s="43">
        <f t="shared" si="172"/>
        <v>109194</v>
      </c>
      <c r="G186" s="43">
        <f t="shared" si="172"/>
        <v>116224</v>
      </c>
      <c r="H186" s="43">
        <f t="shared" si="172"/>
        <v>103067</v>
      </c>
      <c r="I186" s="43">
        <f t="shared" si="172"/>
        <v>96399</v>
      </c>
      <c r="J186" s="43">
        <f t="shared" si="172"/>
        <v>79900</v>
      </c>
      <c r="K186" s="43">
        <f t="shared" si="172"/>
        <v>84556</v>
      </c>
      <c r="L186" s="43">
        <f t="shared" si="172"/>
        <v>81811</v>
      </c>
      <c r="M186" s="43">
        <f t="shared" si="172"/>
        <v>84920</v>
      </c>
      <c r="N186" s="43">
        <f t="shared" si="172"/>
        <v>86241</v>
      </c>
      <c r="O186" s="43">
        <f t="shared" si="172"/>
        <v>77537</v>
      </c>
      <c r="P186" s="43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44" t="s">
        <v>221</v>
      </c>
      <c r="AB186" s="45" t="s">
        <v>308</v>
      </c>
      <c r="AC186" s="43">
        <f t="shared" ref="AC186:AO186" si="173">AC62+AC63+AC65</f>
        <v>672</v>
      </c>
      <c r="AD186" s="43">
        <f t="shared" si="173"/>
        <v>672</v>
      </c>
      <c r="AE186" s="43">
        <f t="shared" si="173"/>
        <v>672</v>
      </c>
      <c r="AF186" s="43">
        <f t="shared" si="173"/>
        <v>672</v>
      </c>
      <c r="AG186" s="43">
        <f t="shared" si="173"/>
        <v>672</v>
      </c>
      <c r="AH186" s="43">
        <f t="shared" si="173"/>
        <v>672</v>
      </c>
      <c r="AI186" s="43">
        <f t="shared" si="173"/>
        <v>672</v>
      </c>
      <c r="AJ186" s="43">
        <f t="shared" si="173"/>
        <v>672</v>
      </c>
      <c r="AK186" s="43">
        <f t="shared" si="173"/>
        <v>672</v>
      </c>
      <c r="AL186" s="43">
        <f t="shared" si="173"/>
        <v>672</v>
      </c>
      <c r="AM186" s="43">
        <f t="shared" si="173"/>
        <v>672</v>
      </c>
      <c r="AN186" s="43">
        <f t="shared" si="173"/>
        <v>672</v>
      </c>
      <c r="AO186" s="43">
        <f t="shared" si="173"/>
        <v>672</v>
      </c>
      <c r="AP186" s="43"/>
      <c r="AQ186" s="32"/>
      <c r="AR186" s="32"/>
    </row>
    <row r="187" spans="1:44">
      <c r="A187" s="32"/>
      <c r="B187" s="45" t="s">
        <v>309</v>
      </c>
      <c r="C187" s="46">
        <v>0</v>
      </c>
      <c r="D187" s="46">
        <v>0</v>
      </c>
      <c r="E187" s="46">
        <v>0</v>
      </c>
      <c r="F187" s="46">
        <v>0</v>
      </c>
      <c r="G187" s="46">
        <v>0</v>
      </c>
      <c r="H187" s="46">
        <v>0</v>
      </c>
      <c r="I187" s="46">
        <v>0</v>
      </c>
      <c r="J187" s="46">
        <v>0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45" t="s">
        <v>309</v>
      </c>
      <c r="AC187" s="46">
        <v>0</v>
      </c>
      <c r="AD187" s="46">
        <v>0</v>
      </c>
      <c r="AE187" s="46">
        <v>0</v>
      </c>
      <c r="AF187" s="46">
        <v>0</v>
      </c>
      <c r="AG187" s="46">
        <v>0</v>
      </c>
      <c r="AH187" s="46">
        <v>0</v>
      </c>
      <c r="AI187" s="46">
        <v>0</v>
      </c>
      <c r="AJ187" s="46">
        <v>0</v>
      </c>
      <c r="AK187" s="46">
        <v>0</v>
      </c>
      <c r="AL187" s="46">
        <v>0</v>
      </c>
      <c r="AM187" s="46">
        <v>0</v>
      </c>
      <c r="AN187" s="46">
        <v>0</v>
      </c>
      <c r="AO187" s="46">
        <v>0</v>
      </c>
      <c r="AP187" s="32"/>
      <c r="AQ187" s="32"/>
      <c r="AR187" s="32"/>
    </row>
    <row r="188" spans="1:44">
      <c r="A188" s="44" t="s">
        <v>224</v>
      </c>
      <c r="B188" s="45" t="s">
        <v>310</v>
      </c>
      <c r="C188" s="43">
        <f t="shared" ref="C188:O188" si="174">C64</f>
        <v>2374</v>
      </c>
      <c r="D188" s="43">
        <f t="shared" si="174"/>
        <v>2474</v>
      </c>
      <c r="E188" s="43">
        <f t="shared" si="174"/>
        <v>2476</v>
      </c>
      <c r="F188" s="43">
        <f t="shared" si="174"/>
        <v>2476</v>
      </c>
      <c r="G188" s="43">
        <f t="shared" si="174"/>
        <v>2477</v>
      </c>
      <c r="H188" s="43">
        <f t="shared" si="174"/>
        <v>2478</v>
      </c>
      <c r="I188" s="43">
        <f t="shared" si="174"/>
        <v>2478</v>
      </c>
      <c r="J188" s="43">
        <f t="shared" si="174"/>
        <v>2479</v>
      </c>
      <c r="K188" s="43">
        <f t="shared" si="174"/>
        <v>2479</v>
      </c>
      <c r="L188" s="43">
        <f t="shared" si="174"/>
        <v>2479</v>
      </c>
      <c r="M188" s="43">
        <f t="shared" si="174"/>
        <v>2479</v>
      </c>
      <c r="N188" s="43">
        <f t="shared" si="174"/>
        <v>2479</v>
      </c>
      <c r="O188" s="43">
        <f t="shared" si="174"/>
        <v>2479</v>
      </c>
      <c r="P188" s="43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44" t="s">
        <v>224</v>
      </c>
      <c r="AB188" s="45" t="s">
        <v>310</v>
      </c>
      <c r="AC188" s="43">
        <f t="shared" ref="AC188:AO188" si="175">AC64</f>
        <v>0</v>
      </c>
      <c r="AD188" s="43">
        <f t="shared" si="175"/>
        <v>0</v>
      </c>
      <c r="AE188" s="43">
        <f t="shared" si="175"/>
        <v>0</v>
      </c>
      <c r="AF188" s="43">
        <f t="shared" si="175"/>
        <v>0</v>
      </c>
      <c r="AG188" s="43">
        <f t="shared" si="175"/>
        <v>0</v>
      </c>
      <c r="AH188" s="43">
        <f t="shared" si="175"/>
        <v>0</v>
      </c>
      <c r="AI188" s="43">
        <f t="shared" si="175"/>
        <v>0</v>
      </c>
      <c r="AJ188" s="43">
        <f t="shared" si="175"/>
        <v>0</v>
      </c>
      <c r="AK188" s="43">
        <f t="shared" si="175"/>
        <v>0</v>
      </c>
      <c r="AL188" s="43">
        <f t="shared" si="175"/>
        <v>0</v>
      </c>
      <c r="AM188" s="43">
        <f t="shared" si="175"/>
        <v>0</v>
      </c>
      <c r="AN188" s="43">
        <f t="shared" si="175"/>
        <v>0</v>
      </c>
      <c r="AO188" s="43">
        <f t="shared" si="175"/>
        <v>0</v>
      </c>
      <c r="AP188" s="43"/>
      <c r="AQ188" s="32"/>
      <c r="AR188" s="32"/>
    </row>
    <row r="189" spans="1:44">
      <c r="A189" s="44" t="s">
        <v>232</v>
      </c>
      <c r="B189" s="45" t="s">
        <v>311</v>
      </c>
      <c r="C189" s="43">
        <f t="shared" ref="C189:O189" si="176">C72</f>
        <v>289220</v>
      </c>
      <c r="D189" s="43">
        <f t="shared" si="176"/>
        <v>292382</v>
      </c>
      <c r="E189" s="43">
        <f t="shared" si="176"/>
        <v>292531</v>
      </c>
      <c r="F189" s="43">
        <f t="shared" si="176"/>
        <v>291319</v>
      </c>
      <c r="G189" s="43">
        <f t="shared" si="176"/>
        <v>314660</v>
      </c>
      <c r="H189" s="43">
        <f t="shared" si="176"/>
        <v>316234</v>
      </c>
      <c r="I189" s="43">
        <f t="shared" si="176"/>
        <v>313249</v>
      </c>
      <c r="J189" s="43">
        <f t="shared" si="176"/>
        <v>314108</v>
      </c>
      <c r="K189" s="43">
        <f t="shared" si="176"/>
        <v>317447</v>
      </c>
      <c r="L189" s="43">
        <f t="shared" si="176"/>
        <v>319654</v>
      </c>
      <c r="M189" s="43">
        <f t="shared" si="176"/>
        <v>307840</v>
      </c>
      <c r="N189" s="43">
        <f t="shared" si="176"/>
        <v>306519</v>
      </c>
      <c r="O189" s="43">
        <f t="shared" si="176"/>
        <v>307178</v>
      </c>
      <c r="P189" s="43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44" t="s">
        <v>232</v>
      </c>
      <c r="AB189" s="45" t="s">
        <v>311</v>
      </c>
      <c r="AC189" s="43">
        <f t="shared" ref="AC189:AO189" si="177">AC72</f>
        <v>6287</v>
      </c>
      <c r="AD189" s="43">
        <f t="shared" si="177"/>
        <v>6203</v>
      </c>
      <c r="AE189" s="43">
        <f t="shared" si="177"/>
        <v>6118</v>
      </c>
      <c r="AF189" s="43">
        <f t="shared" si="177"/>
        <v>5970</v>
      </c>
      <c r="AG189" s="43">
        <f t="shared" si="177"/>
        <v>5885</v>
      </c>
      <c r="AH189" s="43">
        <f t="shared" si="177"/>
        <v>5801</v>
      </c>
      <c r="AI189" s="43">
        <f t="shared" si="177"/>
        <v>5716</v>
      </c>
      <c r="AJ189" s="43">
        <f t="shared" si="177"/>
        <v>5632</v>
      </c>
      <c r="AK189" s="43">
        <f t="shared" si="177"/>
        <v>5547</v>
      </c>
      <c r="AL189" s="43">
        <f t="shared" si="177"/>
        <v>5463</v>
      </c>
      <c r="AM189" s="43">
        <f t="shared" si="177"/>
        <v>5335</v>
      </c>
      <c r="AN189" s="43">
        <f t="shared" si="177"/>
        <v>5200</v>
      </c>
      <c r="AO189" s="43">
        <f t="shared" si="177"/>
        <v>5194</v>
      </c>
      <c r="AP189" s="43"/>
      <c r="AQ189" s="32"/>
      <c r="AR189" s="32"/>
    </row>
    <row r="190" spans="1:44">
      <c r="A190" s="32"/>
      <c r="B190" s="45" t="s">
        <v>312</v>
      </c>
      <c r="C190" s="46">
        <v>0</v>
      </c>
      <c r="D190" s="46">
        <v>0</v>
      </c>
      <c r="E190" s="46">
        <v>0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45" t="s">
        <v>312</v>
      </c>
      <c r="AC190" s="46">
        <v>0</v>
      </c>
      <c r="AD190" s="46">
        <v>0</v>
      </c>
      <c r="AE190" s="46">
        <v>0</v>
      </c>
      <c r="AF190" s="46">
        <v>0</v>
      </c>
      <c r="AG190" s="46">
        <v>0</v>
      </c>
      <c r="AH190" s="46">
        <v>0</v>
      </c>
      <c r="AI190" s="46">
        <v>0</v>
      </c>
      <c r="AJ190" s="46">
        <v>0</v>
      </c>
      <c r="AK190" s="46">
        <v>0</v>
      </c>
      <c r="AL190" s="46">
        <v>0</v>
      </c>
      <c r="AM190" s="46">
        <v>0</v>
      </c>
      <c r="AN190" s="46">
        <v>0</v>
      </c>
      <c r="AO190" s="46">
        <v>0</v>
      </c>
      <c r="AP190" s="32"/>
      <c r="AQ190" s="32"/>
      <c r="AR190" s="32"/>
    </row>
    <row r="191" spans="1:44">
      <c r="A191" s="44" t="s">
        <v>227</v>
      </c>
      <c r="B191" s="45" t="s">
        <v>313</v>
      </c>
      <c r="C191" s="43" t="e">
        <f>#REF!+C73</f>
        <v>#REF!</v>
      </c>
      <c r="D191" s="43" t="e">
        <f>#REF!+D73</f>
        <v>#REF!</v>
      </c>
      <c r="E191" s="43" t="e">
        <f>#REF!+E73</f>
        <v>#REF!</v>
      </c>
      <c r="F191" s="43" t="e">
        <f>#REF!+F73</f>
        <v>#REF!</v>
      </c>
      <c r="G191" s="43" t="e">
        <f>#REF!+G73</f>
        <v>#REF!</v>
      </c>
      <c r="H191" s="43" t="e">
        <f>#REF!+H73</f>
        <v>#REF!</v>
      </c>
      <c r="I191" s="43" t="e">
        <f>#REF!+I73</f>
        <v>#REF!</v>
      </c>
      <c r="J191" s="43" t="e">
        <f>#REF!+J73</f>
        <v>#REF!</v>
      </c>
      <c r="K191" s="43" t="e">
        <f>#REF!+K73</f>
        <v>#REF!</v>
      </c>
      <c r="L191" s="43" t="e">
        <f>#REF!+L73</f>
        <v>#REF!</v>
      </c>
      <c r="M191" s="43" t="e">
        <f>#REF!+M73</f>
        <v>#REF!</v>
      </c>
      <c r="N191" s="43" t="e">
        <f>#REF!+N73</f>
        <v>#REF!</v>
      </c>
      <c r="O191" s="43" t="e">
        <f>#REF!+O73</f>
        <v>#REF!</v>
      </c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44" t="s">
        <v>227</v>
      </c>
      <c r="AB191" s="45" t="s">
        <v>314</v>
      </c>
      <c r="AC191" s="43" t="e">
        <f>#REF!+AC73</f>
        <v>#REF!</v>
      </c>
      <c r="AD191" s="43" t="e">
        <f>#REF!+AD73</f>
        <v>#REF!</v>
      </c>
      <c r="AE191" s="43" t="e">
        <f>#REF!+AE73</f>
        <v>#REF!</v>
      </c>
      <c r="AF191" s="43" t="e">
        <f>#REF!+AF73</f>
        <v>#REF!</v>
      </c>
      <c r="AG191" s="43" t="e">
        <f>#REF!+AG73</f>
        <v>#REF!</v>
      </c>
      <c r="AH191" s="43" t="e">
        <f>#REF!+AH73</f>
        <v>#REF!</v>
      </c>
      <c r="AI191" s="43" t="e">
        <f>#REF!+AI73</f>
        <v>#REF!</v>
      </c>
      <c r="AJ191" s="43" t="e">
        <f>#REF!+AJ73</f>
        <v>#REF!</v>
      </c>
      <c r="AK191" s="43" t="e">
        <f>#REF!+AK73</f>
        <v>#REF!</v>
      </c>
      <c r="AL191" s="43" t="e">
        <f>#REF!+AL73</f>
        <v>#REF!</v>
      </c>
      <c r="AM191" s="43" t="e">
        <f>#REF!+AM73</f>
        <v>#REF!</v>
      </c>
      <c r="AN191" s="43" t="e">
        <f>#REF!+AN73</f>
        <v>#REF!</v>
      </c>
      <c r="AO191" s="43" t="e">
        <f>#REF!+AO73</f>
        <v>#REF!</v>
      </c>
      <c r="AP191" s="32"/>
      <c r="AQ191" s="32"/>
      <c r="AR191" s="32"/>
    </row>
    <row r="192" spans="1:44">
      <c r="A192" s="44" t="s">
        <v>228</v>
      </c>
      <c r="B192" s="45" t="s">
        <v>315</v>
      </c>
      <c r="C192" s="43">
        <f t="shared" ref="C192:O192" si="178">C74+C66</f>
        <v>25015</v>
      </c>
      <c r="D192" s="43">
        <f t="shared" si="178"/>
        <v>36941</v>
      </c>
      <c r="E192" s="43">
        <f t="shared" si="178"/>
        <v>34669</v>
      </c>
      <c r="F192" s="43">
        <f t="shared" si="178"/>
        <v>31389</v>
      </c>
      <c r="G192" s="43">
        <f t="shared" si="178"/>
        <v>32076</v>
      </c>
      <c r="H192" s="43">
        <f t="shared" si="178"/>
        <v>16683</v>
      </c>
      <c r="I192" s="43">
        <f t="shared" si="178"/>
        <v>6665</v>
      </c>
      <c r="J192" s="43">
        <f t="shared" si="178"/>
        <v>5797</v>
      </c>
      <c r="K192" s="43">
        <f t="shared" si="178"/>
        <v>5725</v>
      </c>
      <c r="L192" s="43">
        <f t="shared" si="178"/>
        <v>5726</v>
      </c>
      <c r="M192" s="43">
        <f t="shared" si="178"/>
        <v>5727</v>
      </c>
      <c r="N192" s="43">
        <f t="shared" si="178"/>
        <v>6317</v>
      </c>
      <c r="O192" s="43">
        <f t="shared" si="178"/>
        <v>6911</v>
      </c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44" t="s">
        <v>228</v>
      </c>
      <c r="AB192" s="45" t="s">
        <v>315</v>
      </c>
      <c r="AC192" s="43">
        <f t="shared" ref="AC192:AO192" si="179">AC74+AC66</f>
        <v>0</v>
      </c>
      <c r="AD192" s="43">
        <f t="shared" si="179"/>
        <v>0</v>
      </c>
      <c r="AE192" s="43">
        <f t="shared" si="179"/>
        <v>0</v>
      </c>
      <c r="AF192" s="43">
        <f t="shared" si="179"/>
        <v>0</v>
      </c>
      <c r="AG192" s="43">
        <f t="shared" si="179"/>
        <v>0</v>
      </c>
      <c r="AH192" s="43">
        <f t="shared" si="179"/>
        <v>0</v>
      </c>
      <c r="AI192" s="43">
        <f t="shared" si="179"/>
        <v>0</v>
      </c>
      <c r="AJ192" s="43">
        <f t="shared" si="179"/>
        <v>0</v>
      </c>
      <c r="AK192" s="43">
        <f t="shared" si="179"/>
        <v>0</v>
      </c>
      <c r="AL192" s="43">
        <f t="shared" si="179"/>
        <v>0</v>
      </c>
      <c r="AM192" s="43">
        <f t="shared" si="179"/>
        <v>0</v>
      </c>
      <c r="AN192" s="43">
        <f t="shared" si="179"/>
        <v>0</v>
      </c>
      <c r="AO192" s="43">
        <f t="shared" si="179"/>
        <v>0</v>
      </c>
      <c r="AP192" s="32"/>
      <c r="AQ192" s="32"/>
      <c r="AR192" s="32"/>
    </row>
    <row r="193" spans="1:44">
      <c r="A193" s="44" t="s">
        <v>234</v>
      </c>
      <c r="B193" s="45" t="s">
        <v>316</v>
      </c>
      <c r="C193" s="43" t="e">
        <f>#REF!</f>
        <v>#REF!</v>
      </c>
      <c r="D193" s="43" t="e">
        <f>#REF!</f>
        <v>#REF!</v>
      </c>
      <c r="E193" s="43" t="e">
        <f>#REF!</f>
        <v>#REF!</v>
      </c>
      <c r="F193" s="43" t="e">
        <f>#REF!</f>
        <v>#REF!</v>
      </c>
      <c r="G193" s="43" t="e">
        <f>#REF!</f>
        <v>#REF!</v>
      </c>
      <c r="H193" s="43" t="e">
        <f>#REF!</f>
        <v>#REF!</v>
      </c>
      <c r="I193" s="43" t="e">
        <f>#REF!</f>
        <v>#REF!</v>
      </c>
      <c r="J193" s="43" t="e">
        <f>#REF!</f>
        <v>#REF!</v>
      </c>
      <c r="K193" s="43" t="e">
        <f>#REF!</f>
        <v>#REF!</v>
      </c>
      <c r="L193" s="43" t="e">
        <f>#REF!</f>
        <v>#REF!</v>
      </c>
      <c r="M193" s="43" t="e">
        <f>#REF!</f>
        <v>#REF!</v>
      </c>
      <c r="N193" s="43" t="e">
        <f>#REF!</f>
        <v>#REF!</v>
      </c>
      <c r="O193" s="43" t="e">
        <f>#REF!</f>
        <v>#REF!</v>
      </c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44" t="s">
        <v>234</v>
      </c>
      <c r="AB193" s="45" t="s">
        <v>316</v>
      </c>
      <c r="AC193" s="43" t="e">
        <f>#REF!</f>
        <v>#REF!</v>
      </c>
      <c r="AD193" s="43" t="e">
        <f>#REF!</f>
        <v>#REF!</v>
      </c>
      <c r="AE193" s="43" t="e">
        <f>#REF!</f>
        <v>#REF!</v>
      </c>
      <c r="AF193" s="43" t="e">
        <f>#REF!</f>
        <v>#REF!</v>
      </c>
      <c r="AG193" s="43" t="e">
        <f>#REF!</f>
        <v>#REF!</v>
      </c>
      <c r="AH193" s="43" t="e">
        <f>#REF!</f>
        <v>#REF!</v>
      </c>
      <c r="AI193" s="43" t="e">
        <f>#REF!</f>
        <v>#REF!</v>
      </c>
      <c r="AJ193" s="43" t="e">
        <f>#REF!</f>
        <v>#REF!</v>
      </c>
      <c r="AK193" s="43" t="e">
        <f>#REF!</f>
        <v>#REF!</v>
      </c>
      <c r="AL193" s="43" t="e">
        <f>#REF!</f>
        <v>#REF!</v>
      </c>
      <c r="AM193" s="43" t="e">
        <f>#REF!</f>
        <v>#REF!</v>
      </c>
      <c r="AN193" s="43" t="e">
        <f>#REF!</f>
        <v>#REF!</v>
      </c>
      <c r="AO193" s="43" t="e">
        <f>#REF!</f>
        <v>#REF!</v>
      </c>
      <c r="AP193" s="32"/>
      <c r="AQ193" s="32"/>
      <c r="AR193" s="32"/>
    </row>
    <row r="194" spans="1:44">
      <c r="A194" s="44" t="s">
        <v>229</v>
      </c>
      <c r="B194" s="45" t="s">
        <v>317</v>
      </c>
      <c r="C194" s="47">
        <f t="shared" ref="C194:O194" si="180">C67+C75</f>
        <v>19670</v>
      </c>
      <c r="D194" s="47">
        <f t="shared" si="180"/>
        <v>17685</v>
      </c>
      <c r="E194" s="47">
        <f t="shared" si="180"/>
        <v>21448</v>
      </c>
      <c r="F194" s="47">
        <f t="shared" si="180"/>
        <v>21938</v>
      </c>
      <c r="G194" s="47">
        <f t="shared" si="180"/>
        <v>21919</v>
      </c>
      <c r="H194" s="47">
        <f t="shared" si="180"/>
        <v>22242</v>
      </c>
      <c r="I194" s="47">
        <f t="shared" si="180"/>
        <v>22059</v>
      </c>
      <c r="J194" s="47">
        <f t="shared" si="180"/>
        <v>21846</v>
      </c>
      <c r="K194" s="47">
        <f t="shared" si="180"/>
        <v>21711</v>
      </c>
      <c r="L194" s="47">
        <f t="shared" si="180"/>
        <v>21511</v>
      </c>
      <c r="M194" s="47">
        <f t="shared" si="180"/>
        <v>22174</v>
      </c>
      <c r="N194" s="47">
        <f t="shared" si="180"/>
        <v>22037</v>
      </c>
      <c r="O194" s="47">
        <f t="shared" si="180"/>
        <v>10892</v>
      </c>
      <c r="P194" s="47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44" t="s">
        <v>229</v>
      </c>
      <c r="AB194" s="45" t="s">
        <v>317</v>
      </c>
      <c r="AC194" s="47">
        <f t="shared" ref="AC194:AO194" si="181">AC67+AC75</f>
        <v>0</v>
      </c>
      <c r="AD194" s="47">
        <f t="shared" si="181"/>
        <v>0</v>
      </c>
      <c r="AE194" s="47">
        <f t="shared" si="181"/>
        <v>0</v>
      </c>
      <c r="AF194" s="47">
        <f t="shared" si="181"/>
        <v>0</v>
      </c>
      <c r="AG194" s="47">
        <f t="shared" si="181"/>
        <v>0</v>
      </c>
      <c r="AH194" s="47">
        <f t="shared" si="181"/>
        <v>0</v>
      </c>
      <c r="AI194" s="47">
        <f t="shared" si="181"/>
        <v>0</v>
      </c>
      <c r="AJ194" s="47">
        <f t="shared" si="181"/>
        <v>0</v>
      </c>
      <c r="AK194" s="47">
        <f t="shared" si="181"/>
        <v>0</v>
      </c>
      <c r="AL194" s="47">
        <f t="shared" si="181"/>
        <v>0</v>
      </c>
      <c r="AM194" s="47">
        <f t="shared" si="181"/>
        <v>0</v>
      </c>
      <c r="AN194" s="47">
        <f t="shared" si="181"/>
        <v>0</v>
      </c>
      <c r="AO194" s="47">
        <f t="shared" si="181"/>
        <v>0</v>
      </c>
      <c r="AP194" s="47"/>
      <c r="AQ194" s="32"/>
      <c r="AR194" s="32"/>
    </row>
    <row r="195" spans="1:44" ht="3.9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</row>
    <row r="196" spans="1:44">
      <c r="A196" s="29"/>
      <c r="B196" s="30" t="s">
        <v>318</v>
      </c>
      <c r="C196" s="47" t="e">
        <f t="shared" ref="C196:O196" si="182">SUM(C185:C195)</f>
        <v>#REF!</v>
      </c>
      <c r="D196" s="47" t="e">
        <f t="shared" si="182"/>
        <v>#REF!</v>
      </c>
      <c r="E196" s="47" t="e">
        <f t="shared" si="182"/>
        <v>#REF!</v>
      </c>
      <c r="F196" s="47" t="e">
        <f t="shared" si="182"/>
        <v>#REF!</v>
      </c>
      <c r="G196" s="47" t="e">
        <f t="shared" si="182"/>
        <v>#REF!</v>
      </c>
      <c r="H196" s="47" t="e">
        <f t="shared" si="182"/>
        <v>#REF!</v>
      </c>
      <c r="I196" s="47" t="e">
        <f t="shared" si="182"/>
        <v>#REF!</v>
      </c>
      <c r="J196" s="47" t="e">
        <f t="shared" si="182"/>
        <v>#REF!</v>
      </c>
      <c r="K196" s="47" t="e">
        <f t="shared" si="182"/>
        <v>#REF!</v>
      </c>
      <c r="L196" s="47" t="e">
        <f t="shared" si="182"/>
        <v>#REF!</v>
      </c>
      <c r="M196" s="47" t="e">
        <f t="shared" si="182"/>
        <v>#REF!</v>
      </c>
      <c r="N196" s="47" t="e">
        <f t="shared" si="182"/>
        <v>#REF!</v>
      </c>
      <c r="O196" s="47" t="e">
        <f t="shared" si="182"/>
        <v>#REF!</v>
      </c>
      <c r="P196" s="47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29"/>
      <c r="AB196" s="30" t="s">
        <v>318</v>
      </c>
      <c r="AC196" s="47" t="e">
        <f t="shared" ref="AC196:AO196" si="183">SUM(AC185:AC195)</f>
        <v>#REF!</v>
      </c>
      <c r="AD196" s="47" t="e">
        <f t="shared" si="183"/>
        <v>#REF!</v>
      </c>
      <c r="AE196" s="47" t="e">
        <f t="shared" si="183"/>
        <v>#REF!</v>
      </c>
      <c r="AF196" s="47" t="e">
        <f t="shared" si="183"/>
        <v>#REF!</v>
      </c>
      <c r="AG196" s="47" t="e">
        <f t="shared" si="183"/>
        <v>#REF!</v>
      </c>
      <c r="AH196" s="47" t="e">
        <f t="shared" si="183"/>
        <v>#REF!</v>
      </c>
      <c r="AI196" s="47" t="e">
        <f t="shared" si="183"/>
        <v>#REF!</v>
      </c>
      <c r="AJ196" s="47" t="e">
        <f t="shared" si="183"/>
        <v>#REF!</v>
      </c>
      <c r="AK196" s="47" t="e">
        <f t="shared" si="183"/>
        <v>#REF!</v>
      </c>
      <c r="AL196" s="47" t="e">
        <f t="shared" si="183"/>
        <v>#REF!</v>
      </c>
      <c r="AM196" s="47" t="e">
        <f t="shared" si="183"/>
        <v>#REF!</v>
      </c>
      <c r="AN196" s="47" t="e">
        <f t="shared" si="183"/>
        <v>#REF!</v>
      </c>
      <c r="AO196" s="47" t="e">
        <f t="shared" si="183"/>
        <v>#REF!</v>
      </c>
      <c r="AP196" s="47"/>
      <c r="AQ196" s="32"/>
      <c r="AR196" s="32"/>
    </row>
    <row r="197" spans="1:44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</row>
    <row r="198" spans="1:44">
      <c r="A198" s="29"/>
      <c r="B198" s="30" t="s">
        <v>319</v>
      </c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29"/>
      <c r="AB198" s="30" t="s">
        <v>319</v>
      </c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32"/>
      <c r="AQ198" s="32"/>
      <c r="AR198" s="32"/>
    </row>
    <row r="199" spans="1:44">
      <c r="A199" s="44" t="s">
        <v>189</v>
      </c>
      <c r="B199" s="45" t="s">
        <v>320</v>
      </c>
      <c r="C199" s="43">
        <f t="shared" ref="C199:O199" si="184">C80</f>
        <v>0</v>
      </c>
      <c r="D199" s="43">
        <f t="shared" si="184"/>
        <v>0</v>
      </c>
      <c r="E199" s="43">
        <f t="shared" si="184"/>
        <v>0</v>
      </c>
      <c r="F199" s="43">
        <f t="shared" si="184"/>
        <v>0</v>
      </c>
      <c r="G199" s="43">
        <f t="shared" si="184"/>
        <v>0</v>
      </c>
      <c r="H199" s="43">
        <f t="shared" si="184"/>
        <v>0</v>
      </c>
      <c r="I199" s="43">
        <f t="shared" si="184"/>
        <v>0</v>
      </c>
      <c r="J199" s="43">
        <f t="shared" si="184"/>
        <v>0</v>
      </c>
      <c r="K199" s="43">
        <f t="shared" si="184"/>
        <v>0</v>
      </c>
      <c r="L199" s="43">
        <f t="shared" si="184"/>
        <v>0</v>
      </c>
      <c r="M199" s="43">
        <f t="shared" si="184"/>
        <v>0</v>
      </c>
      <c r="N199" s="43">
        <f t="shared" si="184"/>
        <v>0</v>
      </c>
      <c r="O199" s="43">
        <f t="shared" si="184"/>
        <v>0</v>
      </c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44" t="s">
        <v>189</v>
      </c>
      <c r="AB199" s="45" t="s">
        <v>320</v>
      </c>
      <c r="AC199" s="43">
        <f t="shared" ref="AC199:AO199" si="185">AC80</f>
        <v>0</v>
      </c>
      <c r="AD199" s="43">
        <f t="shared" si="185"/>
        <v>0</v>
      </c>
      <c r="AE199" s="43">
        <f t="shared" si="185"/>
        <v>0</v>
      </c>
      <c r="AF199" s="43">
        <f t="shared" si="185"/>
        <v>0</v>
      </c>
      <c r="AG199" s="43">
        <f t="shared" si="185"/>
        <v>0</v>
      </c>
      <c r="AH199" s="43">
        <f t="shared" si="185"/>
        <v>0</v>
      </c>
      <c r="AI199" s="43">
        <f t="shared" si="185"/>
        <v>0</v>
      </c>
      <c r="AJ199" s="43">
        <f t="shared" si="185"/>
        <v>0</v>
      </c>
      <c r="AK199" s="43">
        <f t="shared" si="185"/>
        <v>0</v>
      </c>
      <c r="AL199" s="43">
        <f t="shared" si="185"/>
        <v>0</v>
      </c>
      <c r="AM199" s="43">
        <f t="shared" si="185"/>
        <v>0</v>
      </c>
      <c r="AN199" s="43">
        <f t="shared" si="185"/>
        <v>0</v>
      </c>
      <c r="AO199" s="43">
        <f t="shared" si="185"/>
        <v>0</v>
      </c>
      <c r="AP199" s="32"/>
      <c r="AQ199" s="32"/>
      <c r="AR199" s="32"/>
    </row>
    <row r="200" spans="1:44">
      <c r="A200" s="44" t="s">
        <v>239</v>
      </c>
      <c r="B200" s="45" t="s">
        <v>321</v>
      </c>
      <c r="C200" s="43">
        <f t="shared" ref="C200:O200" si="186">C81+C82</f>
        <v>499666</v>
      </c>
      <c r="D200" s="43">
        <f t="shared" si="186"/>
        <v>499672</v>
      </c>
      <c r="E200" s="43">
        <f t="shared" si="186"/>
        <v>499678</v>
      </c>
      <c r="F200" s="43">
        <f t="shared" si="186"/>
        <v>499685</v>
      </c>
      <c r="G200" s="43">
        <f t="shared" si="186"/>
        <v>499691</v>
      </c>
      <c r="H200" s="43">
        <f t="shared" si="186"/>
        <v>499698</v>
      </c>
      <c r="I200" s="43">
        <f t="shared" si="186"/>
        <v>499704</v>
      </c>
      <c r="J200" s="43">
        <f t="shared" si="186"/>
        <v>499711</v>
      </c>
      <c r="K200" s="43">
        <f t="shared" si="186"/>
        <v>499717</v>
      </c>
      <c r="L200" s="43">
        <f t="shared" si="186"/>
        <v>499724</v>
      </c>
      <c r="M200" s="43">
        <f t="shared" si="186"/>
        <v>499730</v>
      </c>
      <c r="N200" s="43">
        <f t="shared" si="186"/>
        <v>499737</v>
      </c>
      <c r="O200" s="43">
        <f t="shared" si="186"/>
        <v>499743</v>
      </c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44" t="s">
        <v>239</v>
      </c>
      <c r="AB200" s="45" t="s">
        <v>321</v>
      </c>
      <c r="AC200" s="43">
        <f t="shared" ref="AC200:AO200" si="187">AC81+AC82</f>
        <v>0</v>
      </c>
      <c r="AD200" s="43">
        <f t="shared" si="187"/>
        <v>0</v>
      </c>
      <c r="AE200" s="43">
        <f t="shared" si="187"/>
        <v>0</v>
      </c>
      <c r="AF200" s="43">
        <f t="shared" si="187"/>
        <v>0</v>
      </c>
      <c r="AG200" s="43">
        <f t="shared" si="187"/>
        <v>0</v>
      </c>
      <c r="AH200" s="43">
        <f t="shared" si="187"/>
        <v>0</v>
      </c>
      <c r="AI200" s="43">
        <f t="shared" si="187"/>
        <v>0</v>
      </c>
      <c r="AJ200" s="43">
        <f t="shared" si="187"/>
        <v>0</v>
      </c>
      <c r="AK200" s="43">
        <f t="shared" si="187"/>
        <v>0</v>
      </c>
      <c r="AL200" s="43">
        <f t="shared" si="187"/>
        <v>0</v>
      </c>
      <c r="AM200" s="43">
        <f t="shared" si="187"/>
        <v>0</v>
      </c>
      <c r="AN200" s="43">
        <f t="shared" si="187"/>
        <v>0</v>
      </c>
      <c r="AO200" s="43">
        <f t="shared" si="187"/>
        <v>0</v>
      </c>
      <c r="AP200" s="32"/>
      <c r="AQ200" s="32"/>
      <c r="AR200" s="32"/>
    </row>
    <row r="201" spans="1:44">
      <c r="A201" s="44" t="s">
        <v>247</v>
      </c>
      <c r="B201" s="45" t="s">
        <v>322</v>
      </c>
      <c r="C201" s="47">
        <f t="shared" ref="C201:O201" si="188">C92</f>
        <v>1087527</v>
      </c>
      <c r="D201" s="47">
        <f t="shared" si="188"/>
        <v>1107628</v>
      </c>
      <c r="E201" s="47">
        <f t="shared" si="188"/>
        <v>1126280</v>
      </c>
      <c r="F201" s="47">
        <f t="shared" si="188"/>
        <v>1138649</v>
      </c>
      <c r="G201" s="47">
        <f t="shared" si="188"/>
        <v>1141747</v>
      </c>
      <c r="H201" s="47">
        <f t="shared" si="188"/>
        <v>1142736</v>
      </c>
      <c r="I201" s="47">
        <f t="shared" si="188"/>
        <v>1145702</v>
      </c>
      <c r="J201" s="47">
        <f t="shared" si="188"/>
        <v>1147250</v>
      </c>
      <c r="K201" s="47">
        <f t="shared" si="188"/>
        <v>1149724</v>
      </c>
      <c r="L201" s="47">
        <f t="shared" si="188"/>
        <v>1150370</v>
      </c>
      <c r="M201" s="47">
        <f t="shared" si="188"/>
        <v>1149185</v>
      </c>
      <c r="N201" s="47">
        <f t="shared" si="188"/>
        <v>1165536</v>
      </c>
      <c r="O201" s="47">
        <f t="shared" si="188"/>
        <v>1182292</v>
      </c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44" t="s">
        <v>247</v>
      </c>
      <c r="AB201" s="45" t="s">
        <v>322</v>
      </c>
      <c r="AC201" s="47">
        <f t="shared" ref="AC201:AO201" si="189">AC92</f>
        <v>67757</v>
      </c>
      <c r="AD201" s="47">
        <f t="shared" si="189"/>
        <v>68069</v>
      </c>
      <c r="AE201" s="47">
        <f t="shared" si="189"/>
        <v>68256</v>
      </c>
      <c r="AF201" s="47">
        <f t="shared" si="189"/>
        <v>63455</v>
      </c>
      <c r="AG201" s="47">
        <f t="shared" si="189"/>
        <v>64263</v>
      </c>
      <c r="AH201" s="47">
        <f t="shared" si="189"/>
        <v>64439</v>
      </c>
      <c r="AI201" s="47">
        <f t="shared" si="189"/>
        <v>64695</v>
      </c>
      <c r="AJ201" s="47">
        <f t="shared" si="189"/>
        <v>64884</v>
      </c>
      <c r="AK201" s="47">
        <f t="shared" si="189"/>
        <v>65033</v>
      </c>
      <c r="AL201" s="47">
        <f t="shared" si="189"/>
        <v>65216</v>
      </c>
      <c r="AM201" s="47">
        <f t="shared" si="189"/>
        <v>65403</v>
      </c>
      <c r="AN201" s="47">
        <f t="shared" si="189"/>
        <v>65600</v>
      </c>
      <c r="AO201" s="47">
        <f t="shared" si="189"/>
        <v>65592</v>
      </c>
      <c r="AP201" s="32"/>
      <c r="AQ201" s="32"/>
      <c r="AR201" s="32"/>
    </row>
    <row r="202" spans="1:44" ht="3.9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</row>
    <row r="203" spans="1:44">
      <c r="A203" s="29"/>
      <c r="B203" s="30" t="s">
        <v>323</v>
      </c>
      <c r="C203" s="47">
        <f t="shared" ref="C203:O203" si="190">SUM(C199:C202)</f>
        <v>1587193</v>
      </c>
      <c r="D203" s="47">
        <f t="shared" si="190"/>
        <v>1607300</v>
      </c>
      <c r="E203" s="47">
        <f t="shared" si="190"/>
        <v>1625958</v>
      </c>
      <c r="F203" s="47">
        <f t="shared" si="190"/>
        <v>1638334</v>
      </c>
      <c r="G203" s="47">
        <f t="shared" si="190"/>
        <v>1641438</v>
      </c>
      <c r="H203" s="47">
        <f t="shared" si="190"/>
        <v>1642434</v>
      </c>
      <c r="I203" s="47">
        <f t="shared" si="190"/>
        <v>1645406</v>
      </c>
      <c r="J203" s="47">
        <f t="shared" si="190"/>
        <v>1646961</v>
      </c>
      <c r="K203" s="47">
        <f t="shared" si="190"/>
        <v>1649441</v>
      </c>
      <c r="L203" s="47">
        <f t="shared" si="190"/>
        <v>1650094</v>
      </c>
      <c r="M203" s="47">
        <f t="shared" si="190"/>
        <v>1648915</v>
      </c>
      <c r="N203" s="47">
        <f t="shared" si="190"/>
        <v>1665273</v>
      </c>
      <c r="O203" s="47">
        <f t="shared" si="190"/>
        <v>1682035</v>
      </c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29"/>
      <c r="AB203" s="30" t="s">
        <v>323</v>
      </c>
      <c r="AC203" s="47">
        <f t="shared" ref="AC203:AO203" si="191">SUM(AC199:AC202)</f>
        <v>67757</v>
      </c>
      <c r="AD203" s="47">
        <f t="shared" si="191"/>
        <v>68069</v>
      </c>
      <c r="AE203" s="47">
        <f t="shared" si="191"/>
        <v>68256</v>
      </c>
      <c r="AF203" s="47">
        <f t="shared" si="191"/>
        <v>63455</v>
      </c>
      <c r="AG203" s="47">
        <f t="shared" si="191"/>
        <v>64263</v>
      </c>
      <c r="AH203" s="47">
        <f t="shared" si="191"/>
        <v>64439</v>
      </c>
      <c r="AI203" s="47">
        <f t="shared" si="191"/>
        <v>64695</v>
      </c>
      <c r="AJ203" s="47">
        <f t="shared" si="191"/>
        <v>64884</v>
      </c>
      <c r="AK203" s="47">
        <f t="shared" si="191"/>
        <v>65033</v>
      </c>
      <c r="AL203" s="47">
        <f t="shared" si="191"/>
        <v>65216</v>
      </c>
      <c r="AM203" s="47">
        <f t="shared" si="191"/>
        <v>65403</v>
      </c>
      <c r="AN203" s="47">
        <f t="shared" si="191"/>
        <v>65600</v>
      </c>
      <c r="AO203" s="47">
        <f t="shared" si="191"/>
        <v>65592</v>
      </c>
      <c r="AP203" s="32"/>
      <c r="AQ203" s="32"/>
      <c r="AR203" s="32"/>
    </row>
    <row r="204" spans="1:4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</row>
    <row r="205" spans="1:44">
      <c r="A205" s="29"/>
      <c r="B205" s="30" t="s">
        <v>324</v>
      </c>
      <c r="C205" s="49" t="e">
        <f t="shared" ref="C205:O205" si="192">C196+C203</f>
        <v>#REF!</v>
      </c>
      <c r="D205" s="49" t="e">
        <f t="shared" si="192"/>
        <v>#REF!</v>
      </c>
      <c r="E205" s="49" t="e">
        <f t="shared" si="192"/>
        <v>#REF!</v>
      </c>
      <c r="F205" s="49" t="e">
        <f t="shared" si="192"/>
        <v>#REF!</v>
      </c>
      <c r="G205" s="49" t="e">
        <f t="shared" si="192"/>
        <v>#REF!</v>
      </c>
      <c r="H205" s="49" t="e">
        <f t="shared" si="192"/>
        <v>#REF!</v>
      </c>
      <c r="I205" s="49" t="e">
        <f t="shared" si="192"/>
        <v>#REF!</v>
      </c>
      <c r="J205" s="49" t="e">
        <f t="shared" si="192"/>
        <v>#REF!</v>
      </c>
      <c r="K205" s="49" t="e">
        <f t="shared" si="192"/>
        <v>#REF!</v>
      </c>
      <c r="L205" s="49" t="e">
        <f t="shared" si="192"/>
        <v>#REF!</v>
      </c>
      <c r="M205" s="49" t="e">
        <f t="shared" si="192"/>
        <v>#REF!</v>
      </c>
      <c r="N205" s="49" t="e">
        <f t="shared" si="192"/>
        <v>#REF!</v>
      </c>
      <c r="O205" s="49" t="e">
        <f t="shared" si="192"/>
        <v>#REF!</v>
      </c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29"/>
      <c r="AB205" s="30" t="s">
        <v>324</v>
      </c>
      <c r="AC205" s="49" t="e">
        <f t="shared" ref="AC205:AO205" si="193">AC196+AC203</f>
        <v>#REF!</v>
      </c>
      <c r="AD205" s="49" t="e">
        <f t="shared" si="193"/>
        <v>#REF!</v>
      </c>
      <c r="AE205" s="49" t="e">
        <f t="shared" si="193"/>
        <v>#REF!</v>
      </c>
      <c r="AF205" s="49" t="e">
        <f t="shared" si="193"/>
        <v>#REF!</v>
      </c>
      <c r="AG205" s="49" t="e">
        <f t="shared" si="193"/>
        <v>#REF!</v>
      </c>
      <c r="AH205" s="49" t="e">
        <f t="shared" si="193"/>
        <v>#REF!</v>
      </c>
      <c r="AI205" s="49" t="e">
        <f t="shared" si="193"/>
        <v>#REF!</v>
      </c>
      <c r="AJ205" s="49" t="e">
        <f t="shared" si="193"/>
        <v>#REF!</v>
      </c>
      <c r="AK205" s="49" t="e">
        <f t="shared" si="193"/>
        <v>#REF!</v>
      </c>
      <c r="AL205" s="49" t="e">
        <f t="shared" si="193"/>
        <v>#REF!</v>
      </c>
      <c r="AM205" s="49" t="e">
        <f t="shared" si="193"/>
        <v>#REF!</v>
      </c>
      <c r="AN205" s="49" t="e">
        <f t="shared" si="193"/>
        <v>#REF!</v>
      </c>
      <c r="AO205" s="49" t="e">
        <f t="shared" si="193"/>
        <v>#REF!</v>
      </c>
      <c r="AP205" s="32"/>
      <c r="AQ205" s="32"/>
      <c r="AR205" s="32"/>
    </row>
    <row r="206" spans="1:44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</row>
    <row r="207" spans="1:44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</row>
    <row r="208" spans="1:44">
      <c r="A208" s="32"/>
      <c r="B208" s="45" t="s">
        <v>250</v>
      </c>
      <c r="C208" s="43" t="e">
        <f t="shared" ref="C208:O208" si="194">C181-C205</f>
        <v>#REF!</v>
      </c>
      <c r="D208" s="43" t="e">
        <f t="shared" si="194"/>
        <v>#REF!</v>
      </c>
      <c r="E208" s="43" t="e">
        <f t="shared" si="194"/>
        <v>#REF!</v>
      </c>
      <c r="F208" s="43" t="e">
        <f t="shared" si="194"/>
        <v>#REF!</v>
      </c>
      <c r="G208" s="43" t="e">
        <f t="shared" si="194"/>
        <v>#REF!</v>
      </c>
      <c r="H208" s="43" t="e">
        <f t="shared" si="194"/>
        <v>#REF!</v>
      </c>
      <c r="I208" s="43" t="e">
        <f t="shared" si="194"/>
        <v>#REF!</v>
      </c>
      <c r="J208" s="43" t="e">
        <f t="shared" si="194"/>
        <v>#REF!</v>
      </c>
      <c r="K208" s="43" t="e">
        <f t="shared" si="194"/>
        <v>#REF!</v>
      </c>
      <c r="L208" s="43" t="e">
        <f t="shared" si="194"/>
        <v>#REF!</v>
      </c>
      <c r="M208" s="43" t="e">
        <f t="shared" si="194"/>
        <v>#REF!</v>
      </c>
      <c r="N208" s="43" t="e">
        <f t="shared" si="194"/>
        <v>#REF!</v>
      </c>
      <c r="O208" s="43" t="e">
        <f t="shared" si="194"/>
        <v>#REF!</v>
      </c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45" t="s">
        <v>250</v>
      </c>
      <c r="AC208" s="43" t="e">
        <f t="shared" ref="AC208:AO208" si="195">AC181-AC205</f>
        <v>#REF!</v>
      </c>
      <c r="AD208" s="43" t="e">
        <f t="shared" si="195"/>
        <v>#REF!</v>
      </c>
      <c r="AE208" s="43" t="e">
        <f t="shared" si="195"/>
        <v>#REF!</v>
      </c>
      <c r="AF208" s="43" t="e">
        <f t="shared" si="195"/>
        <v>#REF!</v>
      </c>
      <c r="AG208" s="43" t="e">
        <f t="shared" si="195"/>
        <v>#REF!</v>
      </c>
      <c r="AH208" s="43" t="e">
        <f t="shared" si="195"/>
        <v>#REF!</v>
      </c>
      <c r="AI208" s="43" t="e">
        <f t="shared" si="195"/>
        <v>#REF!</v>
      </c>
      <c r="AJ208" s="43" t="e">
        <f t="shared" si="195"/>
        <v>#REF!</v>
      </c>
      <c r="AK208" s="43" t="e">
        <f t="shared" si="195"/>
        <v>#REF!</v>
      </c>
      <c r="AL208" s="43" t="e">
        <f t="shared" si="195"/>
        <v>#REF!</v>
      </c>
      <c r="AM208" s="43" t="e">
        <f t="shared" si="195"/>
        <v>#REF!</v>
      </c>
      <c r="AN208" s="43" t="e">
        <f t="shared" si="195"/>
        <v>#REF!</v>
      </c>
      <c r="AO208" s="43" t="e">
        <f t="shared" si="195"/>
        <v>#REF!</v>
      </c>
      <c r="AP208" s="32"/>
      <c r="AQ208" s="32"/>
      <c r="AR208" s="32"/>
    </row>
    <row r="209" spans="1:44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</row>
    <row r="211" spans="1:44" ht="8.1" customHeight="1"/>
    <row r="232" spans="3:4">
      <c r="C232" s="2" t="s">
        <v>325</v>
      </c>
      <c r="D232" s="2" t="s">
        <v>326</v>
      </c>
    </row>
    <row r="233" spans="3:4">
      <c r="D233" s="2" t="s">
        <v>327</v>
      </c>
    </row>
    <row r="238" spans="3:4">
      <c r="C238" s="2" t="s">
        <v>328</v>
      </c>
      <c r="D238" s="2" t="s">
        <v>329</v>
      </c>
    </row>
    <row r="239" spans="3:4">
      <c r="D239" s="2" t="s">
        <v>330</v>
      </c>
    </row>
  </sheetData>
  <phoneticPr fontId="0" type="noConversion"/>
  <printOptions gridLinesSet="0"/>
  <pageMargins left="0.25" right="0.25" top="0.25" bottom="0.25" header="0.5" footer="0.5"/>
  <pageSetup paperSize="5" scale="85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PrintBalanceSheet">
                <anchor moveWithCells="1" sizeWithCells="1">
                  <from>
                    <xdr:col>1</xdr:col>
                    <xdr:colOff>876300</xdr:colOff>
                    <xdr:row>3</xdr:row>
                    <xdr:rowOff>9525</xdr:rowOff>
                  </from>
                  <to>
                    <xdr:col>1</xdr:col>
                    <xdr:colOff>1905000</xdr:colOff>
                    <xdr:row>6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3"/>
  <dimension ref="A1:AU518"/>
  <sheetViews>
    <sheetView showGridLines="0" topLeftCell="A5" workbookViewId="0">
      <pane xSplit="3" ySplit="3" topLeftCell="N8" activePane="bottomRight" state="frozen"/>
      <selection activeCell="A5" sqref="A5"/>
      <selection pane="topRight" activeCell="D5" sqref="D5"/>
      <selection pane="bottomLeft" activeCell="A8" sqref="A8"/>
      <selection pane="bottomRight" activeCell="O9" sqref="O9"/>
    </sheetView>
  </sheetViews>
  <sheetFormatPr defaultColWidth="10.7109375" defaultRowHeight="12.75"/>
  <cols>
    <col min="1" max="1" width="40.7109375" style="3" customWidth="1"/>
    <col min="2" max="3" width="8.7109375" style="3" customWidth="1"/>
    <col min="4" max="17" width="9.7109375" style="3" customWidth="1"/>
    <col min="18" max="18" width="10.7109375" style="3" customWidth="1"/>
    <col min="19" max="19" width="3.85546875" style="3" customWidth="1"/>
    <col min="20" max="22" width="9.7109375" style="3" customWidth="1"/>
    <col min="23" max="23" width="5.7109375" style="3" customWidth="1"/>
    <col min="24" max="26" width="10.7109375" style="3"/>
    <col min="27" max="27" width="52.7109375" style="3" customWidth="1"/>
    <col min="28" max="29" width="9.7109375" style="3" customWidth="1"/>
    <col min="30" max="30" width="10.7109375" style="3" customWidth="1"/>
    <col min="31" max="31" width="3.7109375" style="3" customWidth="1"/>
    <col min="32" max="34" width="9.7109375" style="3" customWidth="1"/>
    <col min="35" max="35" width="5.7109375" style="3" customWidth="1"/>
    <col min="36" max="37" width="9.7109375" style="3" customWidth="1"/>
    <col min="38" max="38" width="5.7109375" style="3" customWidth="1"/>
    <col min="39" max="40" width="9.7109375" style="3" customWidth="1"/>
    <col min="41" max="41" width="5.7109375" style="3" customWidth="1"/>
    <col min="42" max="43" width="9.7109375" style="3" customWidth="1"/>
    <col min="44" max="16384" width="10.7109375" style="3"/>
  </cols>
  <sheetData>
    <row r="1" spans="1:47">
      <c r="A1" s="167" t="str">
        <f ca="1">BACKUP!A1</f>
        <v>C:\Users\Felienne\Enron\EnronSpreadsheets\[tracy_geaccone__40393__NNG3rdCECF.xls]BACKUP</v>
      </c>
      <c r="B1" s="60"/>
      <c r="C1" s="60"/>
      <c r="D1" s="60"/>
      <c r="E1" s="60"/>
      <c r="F1" s="60"/>
      <c r="G1" s="60"/>
      <c r="H1" s="60"/>
      <c r="I1" s="158" t="str">
        <f>BACKUP!F1</f>
        <v>NORTHERN NATURAL GAS GROUP</v>
      </c>
      <c r="J1" s="102"/>
      <c r="K1" s="102"/>
      <c r="L1" s="102"/>
      <c r="M1" s="60"/>
      <c r="N1" s="60"/>
      <c r="O1" s="60"/>
      <c r="P1" s="60"/>
      <c r="Q1" s="60"/>
      <c r="R1" s="60"/>
      <c r="S1" s="60"/>
      <c r="T1" s="60"/>
      <c r="U1" s="60"/>
      <c r="V1" s="62">
        <f ca="1">NOW()</f>
        <v>41887.551206018521</v>
      </c>
      <c r="W1" s="63"/>
      <c r="X1" s="63"/>
      <c r="Y1" s="63"/>
      <c r="Z1" s="63"/>
      <c r="AA1" s="64" t="str">
        <f ca="1">A1</f>
        <v>C:\Users\Felienne\Enron\EnronSpreadsheets\[tracy_geaccone__40393__NNG3rdCECF.xls]BACKUP</v>
      </c>
      <c r="AB1" s="60"/>
      <c r="AC1" s="60"/>
      <c r="AD1" s="102" t="str">
        <f>I1</f>
        <v>NORTHERN NATURAL GAS GROUP</v>
      </c>
      <c r="AE1" s="102"/>
      <c r="AF1" s="102"/>
      <c r="AG1" s="102"/>
      <c r="AH1" s="102"/>
      <c r="AI1" s="60"/>
      <c r="AJ1" s="60"/>
      <c r="AK1" s="65"/>
      <c r="AL1" s="60"/>
      <c r="AM1" s="60"/>
      <c r="AN1" s="63"/>
      <c r="AO1" s="63"/>
      <c r="AP1" s="63"/>
      <c r="AQ1" s="62">
        <f ca="1">NOW()</f>
        <v>41887.551206018521</v>
      </c>
      <c r="AR1" s="63"/>
      <c r="AS1" s="63"/>
      <c r="AT1" s="63"/>
      <c r="AU1" s="63"/>
    </row>
    <row r="2" spans="1:47">
      <c r="A2" s="66" t="s">
        <v>331</v>
      </c>
      <c r="B2" s="60"/>
      <c r="C2" s="60"/>
      <c r="D2" s="60"/>
      <c r="E2" s="60"/>
      <c r="F2" s="60"/>
      <c r="G2" s="60"/>
      <c r="H2" s="60"/>
      <c r="I2" s="159" t="s">
        <v>332</v>
      </c>
      <c r="J2" s="102"/>
      <c r="K2" s="102"/>
      <c r="L2" s="102"/>
      <c r="M2" s="60"/>
      <c r="N2" s="60"/>
      <c r="O2" s="60"/>
      <c r="P2" s="60"/>
      <c r="Q2" s="60"/>
      <c r="R2" s="60"/>
      <c r="S2" s="60"/>
      <c r="T2" s="60"/>
      <c r="U2" s="60"/>
      <c r="V2" s="67">
        <f ca="1">NOW()</f>
        <v>41887.551206018521</v>
      </c>
      <c r="W2" s="63"/>
      <c r="X2" s="63"/>
      <c r="Y2" s="63"/>
      <c r="Z2" s="63"/>
      <c r="AA2" s="66" t="s">
        <v>333</v>
      </c>
      <c r="AB2" s="60"/>
      <c r="AC2" s="60"/>
      <c r="AD2" s="102" t="str">
        <f>I2</f>
        <v>CASH FLOW STATEMENT</v>
      </c>
      <c r="AE2" s="102"/>
      <c r="AF2" s="102"/>
      <c r="AG2" s="102"/>
      <c r="AH2" s="102"/>
      <c r="AI2" s="60"/>
      <c r="AJ2" s="60"/>
      <c r="AK2" s="68"/>
      <c r="AL2" s="60"/>
      <c r="AM2" s="60"/>
      <c r="AN2" s="63"/>
      <c r="AO2" s="63"/>
      <c r="AP2" s="63"/>
      <c r="AQ2" s="67">
        <f ca="1">NOW()</f>
        <v>41887.551206018521</v>
      </c>
      <c r="AR2" s="63"/>
      <c r="AS2" s="63"/>
      <c r="AT2" s="63"/>
      <c r="AU2" s="63"/>
    </row>
    <row r="3" spans="1:47">
      <c r="A3" s="68"/>
      <c r="B3" s="60"/>
      <c r="C3" s="60"/>
      <c r="D3" s="60"/>
      <c r="E3" s="60"/>
      <c r="F3" s="60"/>
      <c r="G3" s="60"/>
      <c r="H3" s="60"/>
      <c r="I3" s="158" t="str">
        <f>BACKUP!F3</f>
        <v>2001 ACTUAL / ESTIMATE</v>
      </c>
      <c r="J3" s="102"/>
      <c r="K3" s="102"/>
      <c r="L3" s="102"/>
      <c r="M3" s="60"/>
      <c r="N3" s="60"/>
      <c r="O3" s="60"/>
      <c r="P3" s="60"/>
      <c r="Q3" s="60"/>
      <c r="R3" s="60"/>
      <c r="S3" s="60"/>
      <c r="T3" s="60"/>
      <c r="U3" s="60"/>
      <c r="V3" s="60"/>
      <c r="W3" s="63"/>
      <c r="X3" s="63"/>
      <c r="Y3" s="63"/>
      <c r="Z3" s="63"/>
      <c r="AA3" s="68"/>
      <c r="AB3" s="60"/>
      <c r="AC3" s="60"/>
      <c r="AD3" s="102" t="str">
        <f>I3</f>
        <v>2001 ACTUAL / ESTIMATE</v>
      </c>
      <c r="AE3" s="102"/>
      <c r="AF3" s="102"/>
      <c r="AG3" s="102"/>
      <c r="AH3" s="102"/>
      <c r="AI3" s="60"/>
      <c r="AJ3" s="60"/>
      <c r="AK3" s="60"/>
      <c r="AL3" s="60"/>
      <c r="AM3" s="60"/>
      <c r="AN3" s="60"/>
      <c r="AO3" s="63"/>
      <c r="AP3" s="63"/>
      <c r="AQ3" s="63"/>
      <c r="AR3" s="63"/>
      <c r="AS3" s="63"/>
      <c r="AT3" s="63"/>
      <c r="AU3" s="63"/>
    </row>
    <row r="4" spans="1:47">
      <c r="A4" s="60"/>
      <c r="B4" s="60"/>
      <c r="C4" s="60"/>
      <c r="D4" s="60"/>
      <c r="E4" s="60"/>
      <c r="F4" s="60"/>
      <c r="G4" s="60"/>
      <c r="H4" s="60"/>
      <c r="I4" s="158" t="str">
        <f>BACKUP!F4</f>
        <v>(Thousands of Dollars)</v>
      </c>
      <c r="J4" s="102"/>
      <c r="K4" s="102"/>
      <c r="L4" s="102"/>
      <c r="M4" s="60"/>
      <c r="N4" s="60"/>
      <c r="O4" s="60"/>
      <c r="P4" s="60"/>
      <c r="Q4" s="60"/>
      <c r="R4" s="60"/>
      <c r="S4" s="60"/>
      <c r="T4" s="60"/>
      <c r="U4" s="60"/>
      <c r="V4" s="60"/>
      <c r="W4" s="63"/>
      <c r="X4" s="63"/>
      <c r="Y4" s="63"/>
      <c r="Z4" s="63"/>
      <c r="AA4" s="60"/>
      <c r="AB4" s="60"/>
      <c r="AC4" s="60"/>
      <c r="AD4" s="102" t="str">
        <f>I4</f>
        <v>(Thousands of Dollars)</v>
      </c>
      <c r="AE4" s="102"/>
      <c r="AF4" s="102"/>
      <c r="AG4" s="102"/>
      <c r="AH4" s="102"/>
      <c r="AI4" s="60"/>
      <c r="AJ4" s="60"/>
      <c r="AK4" s="60"/>
      <c r="AL4" s="60"/>
      <c r="AM4" s="60"/>
      <c r="AN4" s="60"/>
      <c r="AO4" s="63"/>
      <c r="AP4" s="63"/>
      <c r="AQ4" s="63"/>
      <c r="AR4" s="63"/>
      <c r="AS4" s="63"/>
      <c r="AT4" s="63"/>
      <c r="AU4" s="63"/>
    </row>
    <row r="5" spans="1:47">
      <c r="A5" s="60"/>
      <c r="B5" s="60"/>
      <c r="C5" s="60"/>
      <c r="D5" s="156">
        <f>BACKUP!D6</f>
        <v>0</v>
      </c>
      <c r="E5" s="156">
        <f>BACKUP!E6</f>
        <v>0</v>
      </c>
      <c r="F5" s="156">
        <f>BACKUP!F6</f>
        <v>0</v>
      </c>
      <c r="G5" s="156">
        <f>BACKUP!G6</f>
        <v>0</v>
      </c>
      <c r="H5" s="156">
        <f>BACKUP!H6</f>
        <v>0</v>
      </c>
      <c r="I5" s="156">
        <f>BACKUP!I6</f>
        <v>0</v>
      </c>
      <c r="J5" s="156">
        <f>BACKUP!J6</f>
        <v>0</v>
      </c>
      <c r="K5" s="156" t="str">
        <f>BACKUP!K6</f>
        <v>PRE</v>
      </c>
      <c r="L5" s="156">
        <f>BACKUP!L6</f>
        <v>0</v>
      </c>
      <c r="M5" s="156">
        <f>BACKUP!M6</f>
        <v>0</v>
      </c>
      <c r="N5" s="156">
        <f>BACKUP!N6</f>
        <v>0</v>
      </c>
      <c r="O5" s="156">
        <f>BACKUP!O6</f>
        <v>0</v>
      </c>
      <c r="P5" s="69"/>
      <c r="Q5" s="60"/>
      <c r="R5" s="69"/>
      <c r="S5" s="60"/>
      <c r="T5" s="223"/>
      <c r="U5" s="60"/>
      <c r="V5" s="70">
        <f>T5</f>
        <v>0</v>
      </c>
      <c r="W5" s="63"/>
      <c r="X5" s="63"/>
      <c r="Y5" s="63"/>
      <c r="Z5" s="63"/>
      <c r="AA5" s="60"/>
      <c r="AB5" s="60"/>
      <c r="AC5" s="60"/>
      <c r="AD5" s="60"/>
      <c r="AE5" s="60"/>
      <c r="AF5" s="70">
        <f>T5</f>
        <v>0</v>
      </c>
      <c r="AG5" s="60"/>
      <c r="AH5" s="70">
        <f>V5</f>
        <v>0</v>
      </c>
      <c r="AI5" s="60"/>
      <c r="AJ5" s="94"/>
      <c r="AK5" s="70">
        <f>T5</f>
        <v>0</v>
      </c>
      <c r="AL5" s="60"/>
      <c r="AM5" s="94"/>
      <c r="AN5" s="93"/>
      <c r="AO5" s="63"/>
      <c r="AP5" s="170"/>
      <c r="AQ5" s="171"/>
      <c r="AR5" s="63"/>
      <c r="AS5" s="63"/>
      <c r="AT5" s="63"/>
      <c r="AU5" s="63"/>
    </row>
    <row r="6" spans="1:47">
      <c r="A6" s="60"/>
      <c r="B6" s="60"/>
      <c r="C6" s="60"/>
      <c r="D6" s="156" t="str">
        <f>BACKUP!D7</f>
        <v>ACT.</v>
      </c>
      <c r="E6" s="156" t="str">
        <f>BACKUP!E7</f>
        <v>ACT.</v>
      </c>
      <c r="F6" s="156" t="str">
        <f>BACKUP!F7</f>
        <v>ACT.</v>
      </c>
      <c r="G6" s="156" t="str">
        <f>BACKUP!G7</f>
        <v>ACT.</v>
      </c>
      <c r="H6" s="156" t="str">
        <f>BACKUP!H7</f>
        <v>ACT.</v>
      </c>
      <c r="I6" s="156" t="str">
        <f>BACKUP!I7</f>
        <v>ACT.</v>
      </c>
      <c r="J6" s="156" t="str">
        <f>BACKUP!J7</f>
        <v>ACT.</v>
      </c>
      <c r="K6" s="156" t="str">
        <f>BACKUP!K7</f>
        <v>ACT.</v>
      </c>
      <c r="L6" s="156" t="str">
        <f>BACKUP!L7</f>
        <v>3rd CE</v>
      </c>
      <c r="M6" s="156" t="str">
        <f>BACKUP!M7</f>
        <v>3rd CE</v>
      </c>
      <c r="N6" s="156" t="str">
        <f>BACKUP!N7</f>
        <v>3rd CE</v>
      </c>
      <c r="O6" s="156" t="str">
        <f>BACKUP!O7</f>
        <v>3rd CE</v>
      </c>
      <c r="P6" s="156" t="str">
        <f>BACKUP!P7</f>
        <v>TOTAL</v>
      </c>
      <c r="Q6" s="241" t="s">
        <v>630</v>
      </c>
      <c r="R6" s="156" t="str">
        <f>BACKUP!R7</f>
        <v>ESTIMATED</v>
      </c>
      <c r="S6" s="93"/>
      <c r="T6" s="95" t="s">
        <v>5</v>
      </c>
      <c r="U6" s="95" t="s">
        <v>624</v>
      </c>
      <c r="V6" s="70" t="str">
        <f>T6</f>
        <v>PLAN</v>
      </c>
      <c r="W6" s="63"/>
      <c r="X6" s="63"/>
      <c r="Y6" s="63"/>
      <c r="Z6" s="63"/>
      <c r="AA6" s="60"/>
      <c r="AB6" s="70" t="str">
        <f>P6</f>
        <v>TOTAL</v>
      </c>
      <c r="AC6" s="95" t="s">
        <v>624</v>
      </c>
      <c r="AD6" s="119" t="str">
        <f>R6</f>
        <v>ESTIMATED</v>
      </c>
      <c r="AE6" s="60"/>
      <c r="AF6" s="70" t="str">
        <f>T6</f>
        <v>PLAN</v>
      </c>
      <c r="AG6" s="119" t="str">
        <f>U6</f>
        <v>SEPT.</v>
      </c>
      <c r="AH6" s="70" t="str">
        <f>V6</f>
        <v>PLAN</v>
      </c>
      <c r="AI6" s="60"/>
      <c r="AJ6" s="97" t="s">
        <v>334</v>
      </c>
      <c r="AK6" s="97"/>
      <c r="AL6" s="60"/>
      <c r="AM6" s="142" t="s">
        <v>625</v>
      </c>
      <c r="AN6" s="136"/>
      <c r="AO6" s="63"/>
      <c r="AP6" s="98" t="s">
        <v>626</v>
      </c>
      <c r="AQ6" s="97"/>
      <c r="AR6" s="63"/>
      <c r="AS6" s="63"/>
      <c r="AT6" s="63"/>
      <c r="AU6" s="63"/>
    </row>
    <row r="7" spans="1:47" ht="12.95" customHeight="1">
      <c r="A7" s="60"/>
      <c r="B7" s="60"/>
      <c r="C7" s="60"/>
      <c r="D7" s="157" t="str">
        <f>BACKUP!D8</f>
        <v>JAN</v>
      </c>
      <c r="E7" s="157" t="str">
        <f>BACKUP!E8</f>
        <v>FEB</v>
      </c>
      <c r="F7" s="157" t="str">
        <f>BACKUP!F8</f>
        <v>MAR</v>
      </c>
      <c r="G7" s="157" t="str">
        <f>BACKUP!G8</f>
        <v>APR</v>
      </c>
      <c r="H7" s="157" t="str">
        <f>BACKUP!H8</f>
        <v>MAY</v>
      </c>
      <c r="I7" s="157" t="str">
        <f>BACKUP!I8</f>
        <v>JUN</v>
      </c>
      <c r="J7" s="157" t="str">
        <f>BACKUP!J8</f>
        <v>JUL</v>
      </c>
      <c r="K7" s="157" t="str">
        <f>BACKUP!K8</f>
        <v>AUG</v>
      </c>
      <c r="L7" s="157" t="str">
        <f>BACKUP!L8</f>
        <v>SEP</v>
      </c>
      <c r="M7" s="157" t="str">
        <f>BACKUP!M8</f>
        <v>OCT</v>
      </c>
      <c r="N7" s="157" t="str">
        <f>BACKUP!N8</f>
        <v>NOV</v>
      </c>
      <c r="O7" s="157" t="str">
        <f>BACKUP!O8</f>
        <v>DEC</v>
      </c>
      <c r="P7" s="157">
        <f>BACKUP!P8</f>
        <v>2001</v>
      </c>
      <c r="Q7" s="157" t="str">
        <f>BACKUP!Q8</f>
        <v>Y-T-D</v>
      </c>
      <c r="R7" s="157" t="str">
        <f>BACKUP!R8</f>
        <v>R.M.</v>
      </c>
      <c r="S7" s="93"/>
      <c r="T7" s="74">
        <f>P7</f>
        <v>2001</v>
      </c>
      <c r="U7" s="74" t="str">
        <f>Q7</f>
        <v>Y-T-D</v>
      </c>
      <c r="V7" s="74" t="str">
        <f>R7</f>
        <v>R.M.</v>
      </c>
      <c r="W7" s="63"/>
      <c r="X7" s="63"/>
      <c r="Y7" s="63"/>
      <c r="Z7" s="63"/>
      <c r="AA7" s="60"/>
      <c r="AB7" s="74">
        <f>P7</f>
        <v>2001</v>
      </c>
      <c r="AC7" s="118" t="str">
        <f>Q7</f>
        <v>Y-T-D</v>
      </c>
      <c r="AD7" s="118" t="str">
        <f>R7</f>
        <v>R.M.</v>
      </c>
      <c r="AE7" s="60"/>
      <c r="AF7" s="74">
        <f>T7</f>
        <v>2001</v>
      </c>
      <c r="AG7" s="118" t="str">
        <f>AC7</f>
        <v>Y-T-D</v>
      </c>
      <c r="AH7" s="74" t="str">
        <f>V7</f>
        <v>R.M.</v>
      </c>
      <c r="AI7" s="60"/>
      <c r="AJ7" s="118" t="str">
        <f>AC7</f>
        <v>Y-T-D</v>
      </c>
      <c r="AK7" s="114" t="s">
        <v>335</v>
      </c>
      <c r="AL7" s="93"/>
      <c r="AM7" s="74" t="str">
        <f>AK7</f>
        <v>ANNUAL</v>
      </c>
      <c r="AN7" s="107" t="s">
        <v>336</v>
      </c>
      <c r="AO7" s="63"/>
      <c r="AP7" s="173" t="s">
        <v>625</v>
      </c>
      <c r="AQ7" s="73" t="str">
        <f>AN7</f>
        <v>Variance</v>
      </c>
      <c r="AR7" s="63"/>
      <c r="AS7" s="63"/>
      <c r="AT7" s="63"/>
      <c r="AU7" s="63"/>
    </row>
    <row r="8" spans="1:47">
      <c r="A8" s="104" t="s">
        <v>337</v>
      </c>
      <c r="B8" s="63"/>
      <c r="C8" s="63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0" t="str">
        <f t="shared" ref="AA8:AA13" si="0">A8</f>
        <v>CASH FLOW FROM OPERATING ACTIVITIES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76"/>
      <c r="AN8" s="63"/>
      <c r="AO8" s="63"/>
      <c r="AP8" s="76"/>
      <c r="AQ8" s="63"/>
      <c r="AR8" s="63"/>
      <c r="AS8" s="63"/>
      <c r="AT8" s="63"/>
      <c r="AU8" s="63"/>
    </row>
    <row r="9" spans="1:47">
      <c r="A9" s="106" t="s">
        <v>609</v>
      </c>
      <c r="B9" s="63"/>
      <c r="C9" s="63"/>
      <c r="D9" s="189">
        <f>BACKUP!D491+BACKUP!D492+BACKUP!D493+BACKUP!D498-1</f>
        <v>19634</v>
      </c>
      <c r="E9" s="75">
        <f>BACKUP!E491+BACKUP!E492+BACKUP!E493+BACKUP!E498</f>
        <v>18785</v>
      </c>
      <c r="F9" s="189">
        <f>BACKUP!F491+BACKUP!F492+BACKUP!F493+BACKUP!F498+4978</f>
        <v>17695</v>
      </c>
      <c r="G9" s="189">
        <f>BACKUP!G491+BACKUP!G492+BACKUP!G493+BACKUP!G498-4</f>
        <v>3079</v>
      </c>
      <c r="H9" s="189">
        <f>BACKUP!H491+BACKUP!H492+BACKUP!H493+BACKUP!H498+3</f>
        <v>992</v>
      </c>
      <c r="I9" s="75">
        <f>BACKUP!I491+BACKUP!I492+BACKUP!I493+BACKUP!I498</f>
        <v>2966</v>
      </c>
      <c r="J9" s="75">
        <f>BACKUP!J491+BACKUP!J492+BACKUP!J493+BACKUP!J498</f>
        <v>1548</v>
      </c>
      <c r="K9" s="75">
        <f>BACKUP!K491+BACKUP!K492+BACKUP!K493+BACKUP!K498</f>
        <v>2474</v>
      </c>
      <c r="L9" s="75">
        <f>BACKUP!L491+BACKUP!L492+BACKUP!L493+BACKUP!L498</f>
        <v>646</v>
      </c>
      <c r="M9" s="75">
        <f>BACKUP!M491+BACKUP!M492+BACKUP!M493+BACKUP!M498</f>
        <v>-1185</v>
      </c>
      <c r="N9" s="75">
        <f>BACKUP!N491+BACKUP!N492+BACKUP!N493+BACKUP!N498</f>
        <v>16351</v>
      </c>
      <c r="O9" s="75">
        <f>BACKUP!O491+BACKUP!O492+BACKUP!O493+BACKUP!O498</f>
        <v>16756</v>
      </c>
      <c r="P9" s="75">
        <f>SUM(D9:O9)</f>
        <v>99741</v>
      </c>
      <c r="Q9" s="76">
        <f>SUM(D9:J9)</f>
        <v>64699</v>
      </c>
      <c r="R9" s="75">
        <f>P9-Q9</f>
        <v>35042</v>
      </c>
      <c r="S9" s="63"/>
      <c r="T9" s="76">
        <v>101324</v>
      </c>
      <c r="U9" s="76">
        <v>64319</v>
      </c>
      <c r="V9" s="75">
        <f>T9-U9</f>
        <v>37005</v>
      </c>
      <c r="W9" s="63"/>
      <c r="X9" s="75"/>
      <c r="Y9" s="75"/>
      <c r="Z9" s="63"/>
      <c r="AA9" s="63" t="str">
        <f t="shared" si="0"/>
        <v xml:space="preserve">   Net Income </v>
      </c>
      <c r="AB9" s="75">
        <f>P9</f>
        <v>99741</v>
      </c>
      <c r="AC9" s="76">
        <f>SUM(D9:L9)</f>
        <v>67819</v>
      </c>
      <c r="AD9" s="75">
        <f>AB9-AC9</f>
        <v>31922</v>
      </c>
      <c r="AE9" s="63"/>
      <c r="AF9" s="75">
        <f>T9</f>
        <v>101324</v>
      </c>
      <c r="AG9" s="75">
        <f>U9</f>
        <v>64319</v>
      </c>
      <c r="AH9" s="75">
        <f>AF9-AG9</f>
        <v>37005</v>
      </c>
      <c r="AI9" s="63"/>
      <c r="AJ9" s="75">
        <f>AC9-AG9</f>
        <v>3500</v>
      </c>
      <c r="AK9" s="75">
        <f>AB9-AF9</f>
        <v>-1583</v>
      </c>
      <c r="AL9" s="63"/>
      <c r="AM9" s="76">
        <v>104819</v>
      </c>
      <c r="AN9" s="75">
        <f>AB9-AM9</f>
        <v>-5078</v>
      </c>
      <c r="AO9" s="63"/>
      <c r="AP9" s="76">
        <v>66848</v>
      </c>
      <c r="AQ9" s="75">
        <f>AC9-AP9</f>
        <v>971</v>
      </c>
      <c r="AR9" s="63"/>
      <c r="AS9" s="63"/>
      <c r="AT9" s="63"/>
      <c r="AU9" s="63"/>
    </row>
    <row r="10" spans="1:47">
      <c r="A10" s="100" t="s">
        <v>338</v>
      </c>
      <c r="B10" s="63"/>
      <c r="C10" s="63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63"/>
      <c r="Q10" s="78"/>
      <c r="R10" s="63"/>
      <c r="S10" s="63"/>
      <c r="T10" s="76"/>
      <c r="U10" s="76"/>
      <c r="V10" s="63"/>
      <c r="W10" s="63"/>
      <c r="X10" s="63"/>
      <c r="Y10" s="63"/>
      <c r="Z10" s="63"/>
      <c r="AA10" s="63" t="str">
        <f t="shared" si="0"/>
        <v xml:space="preserve">   Items not affecting Working Capital:</v>
      </c>
      <c r="AB10" s="63"/>
      <c r="AC10" s="63"/>
      <c r="AD10" s="63"/>
      <c r="AE10" s="63"/>
      <c r="AF10" s="63"/>
      <c r="AG10" s="76"/>
      <c r="AH10" s="63"/>
      <c r="AI10" s="63"/>
      <c r="AJ10" s="63"/>
      <c r="AK10" s="63"/>
      <c r="AL10" s="63"/>
      <c r="AM10" s="76"/>
      <c r="AN10" s="63"/>
      <c r="AO10" s="63"/>
      <c r="AP10" s="76"/>
      <c r="AQ10" s="63"/>
      <c r="AR10" s="63"/>
      <c r="AS10" s="63"/>
      <c r="AT10" s="63"/>
      <c r="AU10" s="63"/>
    </row>
    <row r="11" spans="1:47">
      <c r="A11" s="100" t="s">
        <v>339</v>
      </c>
      <c r="B11" s="63"/>
      <c r="C11" s="63"/>
      <c r="D11" s="195">
        <f>D280+D279-BACKUP!D119</f>
        <v>3841</v>
      </c>
      <c r="E11" s="195">
        <f>E280+E279-BACKUP!E119</f>
        <v>3853</v>
      </c>
      <c r="F11" s="195">
        <f>F280+F279-BACKUP!F119</f>
        <v>3900</v>
      </c>
      <c r="G11" s="189">
        <f>G280+G279-BACKUP!G119+1</f>
        <v>3811</v>
      </c>
      <c r="H11" s="195">
        <f>H280+H279-BACKUP!H119</f>
        <v>3755</v>
      </c>
      <c r="I11" s="195">
        <f>I280+I279-BACKUP!I119</f>
        <v>3999</v>
      </c>
      <c r="J11" s="195">
        <f>J280+J279-BACKUP!J119</f>
        <v>3851</v>
      </c>
      <c r="K11" s="195">
        <f>K280+K279-BACKUP!K119</f>
        <v>3855</v>
      </c>
      <c r="L11" s="195">
        <f>L280+L279-BACKUP!L119</f>
        <v>3900</v>
      </c>
      <c r="M11" s="195">
        <f>M280+M279-BACKUP!M119</f>
        <v>5200</v>
      </c>
      <c r="N11" s="195">
        <f>N280+N279-BACKUP!N119</f>
        <v>3950</v>
      </c>
      <c r="O11" s="195">
        <f>O280+O279-BACKUP!O119</f>
        <v>4000</v>
      </c>
      <c r="P11" s="75">
        <f>SUM(D11:O11)</f>
        <v>47915</v>
      </c>
      <c r="Q11" s="76">
        <f>SUM(D11:J11)</f>
        <v>27010</v>
      </c>
      <c r="R11" s="75">
        <f>P11-Q11</f>
        <v>20905</v>
      </c>
      <c r="S11" s="63"/>
      <c r="T11" s="76">
        <v>49600</v>
      </c>
      <c r="U11" s="76">
        <v>37947</v>
      </c>
      <c r="V11" s="75">
        <f>T11-U11</f>
        <v>11653</v>
      </c>
      <c r="W11" s="63"/>
      <c r="X11" s="75"/>
      <c r="Y11" s="75"/>
      <c r="Z11" s="63"/>
      <c r="AA11" s="63" t="str">
        <f t="shared" si="0"/>
        <v xml:space="preserve">      Depreciation and Amortization</v>
      </c>
      <c r="AB11" s="75">
        <f>P11</f>
        <v>47915</v>
      </c>
      <c r="AC11" s="76">
        <f>SUM(D11:L11)</f>
        <v>34765</v>
      </c>
      <c r="AD11" s="75">
        <f>AB11-AC11</f>
        <v>13150</v>
      </c>
      <c r="AE11" s="63"/>
      <c r="AF11" s="75">
        <f t="shared" ref="AF11:AG13" si="1">T11</f>
        <v>49600</v>
      </c>
      <c r="AG11" s="75">
        <f t="shared" si="1"/>
        <v>37947</v>
      </c>
      <c r="AH11" s="75">
        <f>AF11-AG11</f>
        <v>11653</v>
      </c>
      <c r="AI11" s="63"/>
      <c r="AJ11" s="75">
        <f>AC11-AG11</f>
        <v>-3182</v>
      </c>
      <c r="AK11" s="75">
        <f>AB11-AF11</f>
        <v>-1685</v>
      </c>
      <c r="AL11" s="63"/>
      <c r="AM11" s="76">
        <v>48059</v>
      </c>
      <c r="AN11" s="75">
        <f>AB11-AM11</f>
        <v>-144</v>
      </c>
      <c r="AO11" s="63"/>
      <c r="AP11" s="76">
        <v>35159</v>
      </c>
      <c r="AQ11" s="75">
        <f>AC11-AP11</f>
        <v>-394</v>
      </c>
      <c r="AR11" s="63"/>
      <c r="AS11" s="63"/>
      <c r="AT11" s="63"/>
      <c r="AU11" s="63"/>
    </row>
    <row r="12" spans="1:47">
      <c r="A12" s="100" t="s">
        <v>340</v>
      </c>
      <c r="B12" s="63"/>
      <c r="C12" s="63"/>
      <c r="D12" s="75">
        <f>-D292-D293</f>
        <v>0</v>
      </c>
      <c r="E12" s="75">
        <f t="shared" ref="E12:O12" si="2">-E292-E293</f>
        <v>0</v>
      </c>
      <c r="F12" s="75">
        <f t="shared" si="2"/>
        <v>0</v>
      </c>
      <c r="G12" s="75">
        <f t="shared" si="2"/>
        <v>0</v>
      </c>
      <c r="H12" s="75">
        <f t="shared" si="2"/>
        <v>0</v>
      </c>
      <c r="I12" s="75">
        <f t="shared" si="2"/>
        <v>0</v>
      </c>
      <c r="J12" s="75">
        <f t="shared" si="2"/>
        <v>0</v>
      </c>
      <c r="K12" s="75">
        <f t="shared" si="2"/>
        <v>0</v>
      </c>
      <c r="L12" s="75">
        <f t="shared" si="2"/>
        <v>0</v>
      </c>
      <c r="M12" s="75">
        <f t="shared" si="2"/>
        <v>0</v>
      </c>
      <c r="N12" s="75">
        <f t="shared" si="2"/>
        <v>0</v>
      </c>
      <c r="O12" s="75">
        <f t="shared" si="2"/>
        <v>0</v>
      </c>
      <c r="P12" s="75">
        <f>SUM(D12:O12)</f>
        <v>0</v>
      </c>
      <c r="Q12" s="76">
        <f>SUM(D12:J12)</f>
        <v>0</v>
      </c>
      <c r="R12" s="75">
        <f>P12-Q12</f>
        <v>0</v>
      </c>
      <c r="S12" s="63"/>
      <c r="T12" s="76">
        <v>0</v>
      </c>
      <c r="U12" s="76">
        <v>0</v>
      </c>
      <c r="V12" s="75">
        <f>T12-U12</f>
        <v>0</v>
      </c>
      <c r="W12" s="63"/>
      <c r="X12" s="75"/>
      <c r="Y12" s="75"/>
      <c r="Z12" s="63"/>
      <c r="AA12" s="63" t="str">
        <f t="shared" si="0"/>
        <v xml:space="preserve">      Regulatory Amortization - TCR</v>
      </c>
      <c r="AB12" s="75">
        <f>P12</f>
        <v>0</v>
      </c>
      <c r="AC12" s="76">
        <f>SUM(D12:L12)</f>
        <v>0</v>
      </c>
      <c r="AD12" s="75">
        <f>AB12-AC12</f>
        <v>0</v>
      </c>
      <c r="AE12" s="63"/>
      <c r="AF12" s="75">
        <f t="shared" si="1"/>
        <v>0</v>
      </c>
      <c r="AG12" s="75">
        <f t="shared" si="1"/>
        <v>0</v>
      </c>
      <c r="AH12" s="75">
        <f>AF12-AG12</f>
        <v>0</v>
      </c>
      <c r="AI12" s="63"/>
      <c r="AJ12" s="75">
        <f>AC12-AG12</f>
        <v>0</v>
      </c>
      <c r="AK12" s="75">
        <f>AB12-AF12</f>
        <v>0</v>
      </c>
      <c r="AL12" s="63"/>
      <c r="AM12" s="76">
        <v>0</v>
      </c>
      <c r="AN12" s="75">
        <f>AB12-AM12</f>
        <v>0</v>
      </c>
      <c r="AO12" s="63"/>
      <c r="AP12" s="76">
        <v>0</v>
      </c>
      <c r="AQ12" s="75">
        <f>AC12-AP12</f>
        <v>0</v>
      </c>
      <c r="AR12" s="63"/>
      <c r="AS12" s="63"/>
      <c r="AT12" s="63"/>
      <c r="AU12" s="63"/>
    </row>
    <row r="13" spans="1:47">
      <c r="A13" s="106" t="s">
        <v>551</v>
      </c>
      <c r="B13" s="63"/>
      <c r="C13" s="63"/>
      <c r="D13" s="75">
        <f>BACKUP!D388+BACKUP!D378</f>
        <v>3262</v>
      </c>
      <c r="E13" s="189">
        <f>BACKUP!E388+BACKUP!E378-1</f>
        <v>150</v>
      </c>
      <c r="F13" s="189">
        <f>BACKUP!F388+BACKUP!F378+65</f>
        <v>-1147</v>
      </c>
      <c r="G13" s="189">
        <f>BACKUP!G388+BACKUP!G378-1</f>
        <v>23341</v>
      </c>
      <c r="H13" s="75">
        <f>BACKUP!H388+BACKUP!H378</f>
        <v>1575</v>
      </c>
      <c r="I13" s="189">
        <f>BACKUP!I388+BACKUP!I378+2</f>
        <v>-2983</v>
      </c>
      <c r="J13" s="75">
        <f>BACKUP!J388+BACKUP!J378</f>
        <v>860</v>
      </c>
      <c r="K13" s="75">
        <f>BACKUP!K388+BACKUP!K378</f>
        <v>3339</v>
      </c>
      <c r="L13" s="75">
        <f>BACKUP!L388+BACKUP!L378</f>
        <v>2207</v>
      </c>
      <c r="M13" s="75">
        <f>BACKUP!M388+BACKUP!M378</f>
        <v>-11814</v>
      </c>
      <c r="N13" s="75">
        <f>BACKUP!N388+BACKUP!N378</f>
        <v>-1321</v>
      </c>
      <c r="O13" s="75">
        <f>BACKUP!O388+BACKUP!O378</f>
        <v>659</v>
      </c>
      <c r="P13" s="75">
        <f>SUM(D13:O13)</f>
        <v>18128</v>
      </c>
      <c r="Q13" s="76">
        <f>SUM(D13:J13)</f>
        <v>25058</v>
      </c>
      <c r="R13" s="75">
        <f>P13-Q13</f>
        <v>-6930</v>
      </c>
      <c r="S13" s="63"/>
      <c r="T13" s="76">
        <v>7119</v>
      </c>
      <c r="U13" s="76">
        <v>6786</v>
      </c>
      <c r="V13" s="75">
        <f>T13-U13</f>
        <v>333</v>
      </c>
      <c r="W13" s="63"/>
      <c r="X13" s="75"/>
      <c r="Y13" s="75"/>
      <c r="Z13" s="63"/>
      <c r="AA13" s="63" t="str">
        <f t="shared" si="0"/>
        <v xml:space="preserve">      Deferred Income Taxes - Both Current and Noncurrent </v>
      </c>
      <c r="AB13" s="75">
        <f>P13</f>
        <v>18128</v>
      </c>
      <c r="AC13" s="76">
        <f>SUM(D13:L13)</f>
        <v>30604</v>
      </c>
      <c r="AD13" s="75">
        <f>AB13-AC13</f>
        <v>-12476</v>
      </c>
      <c r="AE13" s="63"/>
      <c r="AF13" s="75">
        <f t="shared" si="1"/>
        <v>7119</v>
      </c>
      <c r="AG13" s="75">
        <f t="shared" si="1"/>
        <v>6786</v>
      </c>
      <c r="AH13" s="75">
        <f>AF13-AG13</f>
        <v>333</v>
      </c>
      <c r="AI13" s="63"/>
      <c r="AJ13" s="75">
        <f>AC13-AG13</f>
        <v>23818</v>
      </c>
      <c r="AK13" s="75">
        <f>AB13-AF13</f>
        <v>11009</v>
      </c>
      <c r="AL13" s="63"/>
      <c r="AM13" s="76">
        <v>16432</v>
      </c>
      <c r="AN13" s="75">
        <f>AB13-AM13</f>
        <v>1696</v>
      </c>
      <c r="AO13" s="63"/>
      <c r="AP13" s="76">
        <v>28314</v>
      </c>
      <c r="AQ13" s="75">
        <f>AC13-AP13</f>
        <v>2290</v>
      </c>
      <c r="AR13" s="63"/>
      <c r="AS13" s="63"/>
      <c r="AT13" s="63"/>
      <c r="AU13" s="63"/>
    </row>
    <row r="14" spans="1:47" ht="3.95" customHeight="1">
      <c r="A14" s="94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</row>
    <row r="15" spans="1:47">
      <c r="A15" s="100" t="s">
        <v>341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76"/>
      <c r="R15" s="63"/>
      <c r="S15" s="63"/>
      <c r="T15" s="76"/>
      <c r="U15" s="76"/>
      <c r="V15" s="63"/>
      <c r="W15" s="63"/>
      <c r="X15" s="63"/>
      <c r="Y15" s="63"/>
      <c r="Z15" s="63"/>
      <c r="AA15" s="63" t="str">
        <f t="shared" ref="AA15:AA26" si="3">A15</f>
        <v xml:space="preserve">   Working Capital Changes:</v>
      </c>
      <c r="AB15" s="63"/>
      <c r="AC15" s="63"/>
      <c r="AD15" s="63"/>
      <c r="AE15" s="63"/>
      <c r="AF15" s="63"/>
      <c r="AG15" s="76"/>
      <c r="AH15" s="63"/>
      <c r="AI15" s="63"/>
      <c r="AJ15" s="63"/>
      <c r="AK15" s="63"/>
      <c r="AL15" s="63"/>
      <c r="AM15" s="76"/>
      <c r="AN15" s="63"/>
      <c r="AO15" s="63"/>
      <c r="AP15" s="76"/>
      <c r="AQ15" s="63"/>
      <c r="AR15" s="63"/>
      <c r="AS15" s="63"/>
      <c r="AT15" s="63"/>
      <c r="AU15" s="63"/>
    </row>
    <row r="16" spans="1:47">
      <c r="A16" s="106" t="s">
        <v>629</v>
      </c>
      <c r="B16" s="63"/>
      <c r="C16" s="63"/>
      <c r="D16" s="189">
        <f>-BACKUP!D35+2</f>
        <v>-3895</v>
      </c>
      <c r="E16" s="189">
        <f>-BACKUP!E35-3</f>
        <v>2983</v>
      </c>
      <c r="F16" s="189">
        <f>-BACKUP!F35-3</f>
        <v>-15954</v>
      </c>
      <c r="G16" s="189">
        <f>-BACKUP!G35+4</f>
        <v>16452</v>
      </c>
      <c r="H16" s="189">
        <f>-BACKUP!H35-2</f>
        <v>10501</v>
      </c>
      <c r="I16" s="239">
        <f>-BACKUP!I35-108</f>
        <v>-6396</v>
      </c>
      <c r="J16" s="239">
        <f>-BACKUP!J35+450</f>
        <v>7293</v>
      </c>
      <c r="K16" s="239">
        <f>-BACKUP!K35-315</f>
        <v>-286</v>
      </c>
      <c r="L16" s="75">
        <f>-BACKUP!L35</f>
        <v>1749</v>
      </c>
      <c r="M16" s="75">
        <f>-BACKUP!M35</f>
        <v>619</v>
      </c>
      <c r="N16" s="75">
        <f>-BACKUP!N35</f>
        <v>-28987</v>
      </c>
      <c r="O16" s="75">
        <f>-BACKUP!O35</f>
        <v>-1198</v>
      </c>
      <c r="P16" s="75">
        <f t="shared" ref="P16:P26" si="4">SUM(D16:O16)</f>
        <v>-17119</v>
      </c>
      <c r="Q16" s="76">
        <f t="shared" ref="Q16:Q34" si="5">SUM(D16:J16)</f>
        <v>10984</v>
      </c>
      <c r="R16" s="75">
        <f t="shared" ref="R16:R26" si="6">P16-Q16</f>
        <v>-28103</v>
      </c>
      <c r="S16" s="63"/>
      <c r="T16" s="76">
        <v>497</v>
      </c>
      <c r="U16" s="76">
        <v>29620</v>
      </c>
      <c r="V16" s="75">
        <f t="shared" ref="V16:V26" si="7">T16-U16</f>
        <v>-29123</v>
      </c>
      <c r="W16" s="63"/>
      <c r="X16" s="75"/>
      <c r="Y16" s="75"/>
      <c r="Z16" s="63"/>
      <c r="AA16" s="63" t="str">
        <f t="shared" si="3"/>
        <v xml:space="preserve">      Accounts and Notes Receivable - Trade Only (6/01 Forward)</v>
      </c>
      <c r="AB16" s="75">
        <f t="shared" ref="AB16:AB26" si="8">P16</f>
        <v>-17119</v>
      </c>
      <c r="AC16" s="76">
        <f t="shared" ref="AC16:AC34" si="9">SUM(D16:L16)</f>
        <v>12447</v>
      </c>
      <c r="AD16" s="75">
        <f t="shared" ref="AD16:AD26" si="10">AB16-AC16</f>
        <v>-29566</v>
      </c>
      <c r="AE16" s="63"/>
      <c r="AF16" s="75">
        <f t="shared" ref="AF16:AF26" si="11">T16</f>
        <v>497</v>
      </c>
      <c r="AG16" s="75">
        <f t="shared" ref="AG16:AG26" si="12">U16</f>
        <v>29620</v>
      </c>
      <c r="AH16" s="75">
        <f t="shared" ref="AH16:AH26" si="13">AF16-AG16</f>
        <v>-29123</v>
      </c>
      <c r="AI16" s="63"/>
      <c r="AJ16" s="75">
        <f t="shared" ref="AJ16:AJ26" si="14">AC16-AG16</f>
        <v>-17173</v>
      </c>
      <c r="AK16" s="75">
        <f t="shared" ref="AK16:AK26" si="15">AB16-AF16</f>
        <v>-17616</v>
      </c>
      <c r="AL16" s="63"/>
      <c r="AM16" s="76">
        <v>-16979</v>
      </c>
      <c r="AN16" s="75">
        <f t="shared" ref="AN16:AN26" si="16">AB16-AM16</f>
        <v>-140</v>
      </c>
      <c r="AO16" s="63"/>
      <c r="AP16" s="76">
        <v>13364</v>
      </c>
      <c r="AQ16" s="75">
        <f t="shared" ref="AQ16:AQ26" si="17">AC16-AP16</f>
        <v>-917</v>
      </c>
      <c r="AR16" s="63"/>
      <c r="AS16" s="63"/>
      <c r="AT16" s="63"/>
      <c r="AU16" s="63"/>
    </row>
    <row r="17" spans="1:47">
      <c r="A17" s="100" t="s">
        <v>342</v>
      </c>
      <c r="B17" s="63"/>
      <c r="C17" s="63"/>
      <c r="D17" s="75">
        <f>-BACKUP!D51-BACKUP!D58</f>
        <v>5</v>
      </c>
      <c r="E17" s="75">
        <f>-BACKUP!E51-BACKUP!E58</f>
        <v>3</v>
      </c>
      <c r="F17" s="75">
        <f>-BACKUP!F51-BACKUP!F58</f>
        <v>1261</v>
      </c>
      <c r="G17" s="75">
        <f>-BACKUP!G51-BACKUP!G58</f>
        <v>10</v>
      </c>
      <c r="H17" s="75">
        <f>-BACKUP!H51-BACKUP!H58</f>
        <v>197</v>
      </c>
      <c r="I17" s="75">
        <f>-BACKUP!I51-BACKUP!I58</f>
        <v>17</v>
      </c>
      <c r="J17" s="75">
        <f>-BACKUP!J51-BACKUP!J58</f>
        <v>-1</v>
      </c>
      <c r="K17" s="75">
        <f>-BACKUP!K51-BACKUP!K58</f>
        <v>0</v>
      </c>
      <c r="L17" s="75">
        <f>-BACKUP!L51-BACKUP!L58</f>
        <v>0</v>
      </c>
      <c r="M17" s="75">
        <f>-BACKUP!M51-BACKUP!M58</f>
        <v>0</v>
      </c>
      <c r="N17" s="75">
        <f>-BACKUP!N51-BACKUP!N58</f>
        <v>0</v>
      </c>
      <c r="O17" s="75">
        <f>-BACKUP!O51-BACKUP!O58</f>
        <v>0</v>
      </c>
      <c r="P17" s="75">
        <f t="shared" si="4"/>
        <v>1492</v>
      </c>
      <c r="Q17" s="76">
        <f t="shared" si="5"/>
        <v>1492</v>
      </c>
      <c r="R17" s="75">
        <f t="shared" si="6"/>
        <v>0</v>
      </c>
      <c r="S17" s="63"/>
      <c r="T17" s="76">
        <v>0</v>
      </c>
      <c r="U17" s="76">
        <v>0</v>
      </c>
      <c r="V17" s="75">
        <f t="shared" si="7"/>
        <v>0</v>
      </c>
      <c r="W17" s="63"/>
      <c r="X17" s="75"/>
      <c r="Y17" s="75"/>
      <c r="Z17" s="63"/>
      <c r="AA17" s="63" t="str">
        <f t="shared" si="3"/>
        <v xml:space="preserve">      Inventories</v>
      </c>
      <c r="AB17" s="75">
        <f t="shared" si="8"/>
        <v>1492</v>
      </c>
      <c r="AC17" s="76">
        <f t="shared" si="9"/>
        <v>1492</v>
      </c>
      <c r="AD17" s="75">
        <f t="shared" si="10"/>
        <v>0</v>
      </c>
      <c r="AE17" s="63"/>
      <c r="AF17" s="75">
        <f t="shared" si="11"/>
        <v>0</v>
      </c>
      <c r="AG17" s="75">
        <f t="shared" si="12"/>
        <v>0</v>
      </c>
      <c r="AH17" s="75">
        <f t="shared" si="13"/>
        <v>0</v>
      </c>
      <c r="AI17" s="63"/>
      <c r="AJ17" s="75">
        <f t="shared" si="14"/>
        <v>1492</v>
      </c>
      <c r="AK17" s="75">
        <f t="shared" si="15"/>
        <v>1492</v>
      </c>
      <c r="AL17" s="63"/>
      <c r="AM17" s="76">
        <v>1493</v>
      </c>
      <c r="AN17" s="75">
        <f t="shared" si="16"/>
        <v>-1</v>
      </c>
      <c r="AO17" s="63"/>
      <c r="AP17" s="76">
        <v>1493</v>
      </c>
      <c r="AQ17" s="75">
        <f t="shared" si="17"/>
        <v>-1</v>
      </c>
      <c r="AR17" s="63"/>
      <c r="AS17" s="63"/>
      <c r="AT17" s="63"/>
      <c r="AU17" s="63"/>
    </row>
    <row r="18" spans="1:47">
      <c r="A18" s="106" t="s">
        <v>628</v>
      </c>
      <c r="B18" s="63"/>
      <c r="C18" s="63"/>
      <c r="D18" s="75">
        <f>BACKUP!D301</f>
        <v>20507</v>
      </c>
      <c r="E18" s="189">
        <f>BACKUP!E301+2</f>
        <v>-39369</v>
      </c>
      <c r="F18" s="75">
        <f>BACKUP!F301</f>
        <v>11743</v>
      </c>
      <c r="G18" s="75">
        <f>BACKUP!G301</f>
        <v>-13632</v>
      </c>
      <c r="H18" s="75">
        <f>BACKUP!H301</f>
        <v>-301</v>
      </c>
      <c r="I18" s="239">
        <f>BACKUP!I301-1230</f>
        <v>172</v>
      </c>
      <c r="J18" s="239">
        <f>BACKUP!J301+234</f>
        <v>1530</v>
      </c>
      <c r="K18" s="239">
        <f>BACKUP!K301-250</f>
        <v>208</v>
      </c>
      <c r="L18" s="75">
        <f>BACKUP!L301</f>
        <v>17</v>
      </c>
      <c r="M18" s="75">
        <f>BACKUP!M301</f>
        <v>0</v>
      </c>
      <c r="N18" s="75">
        <f>BACKUP!N301</f>
        <v>0</v>
      </c>
      <c r="O18" s="75">
        <f>BACKUP!O301</f>
        <v>731</v>
      </c>
      <c r="P18" s="75">
        <f t="shared" si="4"/>
        <v>-18394</v>
      </c>
      <c r="Q18" s="76">
        <f t="shared" si="5"/>
        <v>-19350</v>
      </c>
      <c r="R18" s="75">
        <f t="shared" si="6"/>
        <v>956</v>
      </c>
      <c r="S18" s="63"/>
      <c r="T18" s="76">
        <v>-16</v>
      </c>
      <c r="U18" s="76">
        <v>-6445</v>
      </c>
      <c r="V18" s="75">
        <f t="shared" si="7"/>
        <v>6429</v>
      </c>
      <c r="W18" s="63"/>
      <c r="X18" s="75"/>
      <c r="Y18" s="75"/>
      <c r="Z18" s="63"/>
      <c r="AA18" s="63" t="str">
        <f t="shared" si="3"/>
        <v xml:space="preserve">      Accounts Payable - Trade Only (6/01 Forward)</v>
      </c>
      <c r="AB18" s="75">
        <f t="shared" si="8"/>
        <v>-18394</v>
      </c>
      <c r="AC18" s="76">
        <f t="shared" si="9"/>
        <v>-19125</v>
      </c>
      <c r="AD18" s="75">
        <f t="shared" si="10"/>
        <v>731</v>
      </c>
      <c r="AE18" s="63"/>
      <c r="AF18" s="75">
        <f t="shared" si="11"/>
        <v>-16</v>
      </c>
      <c r="AG18" s="75">
        <f t="shared" si="12"/>
        <v>-6445</v>
      </c>
      <c r="AH18" s="75">
        <f t="shared" si="13"/>
        <v>6429</v>
      </c>
      <c r="AI18" s="63"/>
      <c r="AJ18" s="75">
        <f t="shared" si="14"/>
        <v>-12680</v>
      </c>
      <c r="AK18" s="75">
        <f t="shared" si="15"/>
        <v>-18378</v>
      </c>
      <c r="AL18" s="63"/>
      <c r="AM18" s="76">
        <v>-19576</v>
      </c>
      <c r="AN18" s="75">
        <f t="shared" si="16"/>
        <v>1182</v>
      </c>
      <c r="AO18" s="63"/>
      <c r="AP18" s="76">
        <v>-20307</v>
      </c>
      <c r="AQ18" s="75">
        <f t="shared" si="17"/>
        <v>1182</v>
      </c>
      <c r="AR18" s="63"/>
      <c r="AS18" s="63"/>
      <c r="AT18" s="63"/>
      <c r="AU18" s="63"/>
    </row>
    <row r="19" spans="1:47">
      <c r="A19" s="106" t="s">
        <v>343</v>
      </c>
      <c r="B19" s="63"/>
      <c r="C19" s="63"/>
      <c r="D19" s="143">
        <f>BACKUP!D319</f>
        <v>0</v>
      </c>
      <c r="E19" s="143">
        <f>BACKUP!E319</f>
        <v>0</v>
      </c>
      <c r="F19" s="75">
        <f>BACKUP!F319</f>
        <v>0</v>
      </c>
      <c r="G19" s="75">
        <f>BACKUP!G319</f>
        <v>0</v>
      </c>
      <c r="H19" s="75">
        <f>BACKUP!H319</f>
        <v>0</v>
      </c>
      <c r="I19" s="75">
        <f>BACKUP!I319</f>
        <v>0</v>
      </c>
      <c r="J19" s="75">
        <f>BACKUP!J319</f>
        <v>0</v>
      </c>
      <c r="K19" s="75">
        <f>BACKUP!K319</f>
        <v>3301</v>
      </c>
      <c r="L19" s="75">
        <f>BACKUP!L319</f>
        <v>1933</v>
      </c>
      <c r="M19" s="75">
        <f>BACKUP!M319</f>
        <v>-3995</v>
      </c>
      <c r="N19" s="75">
        <f>BACKUP!N319</f>
        <v>-5941</v>
      </c>
      <c r="O19" s="75">
        <f>BACKUP!O319</f>
        <v>-1862</v>
      </c>
      <c r="P19" s="75">
        <f>SUM(D19:O19)</f>
        <v>-6564</v>
      </c>
      <c r="Q19" s="76">
        <f t="shared" si="5"/>
        <v>0</v>
      </c>
      <c r="R19" s="75">
        <f>P19-Q19</f>
        <v>-6564</v>
      </c>
      <c r="S19" s="63"/>
      <c r="T19" s="76">
        <v>-13405</v>
      </c>
      <c r="U19" s="76">
        <v>-7109</v>
      </c>
      <c r="V19" s="75">
        <f>T19-U19</f>
        <v>-6296</v>
      </c>
      <c r="W19" s="63"/>
      <c r="X19" s="75"/>
      <c r="Y19" s="75"/>
      <c r="Z19" s="63"/>
      <c r="AA19" s="63" t="str">
        <f t="shared" si="3"/>
        <v xml:space="preserve">                    - Other</v>
      </c>
      <c r="AB19" s="75">
        <f t="shared" si="8"/>
        <v>-6564</v>
      </c>
      <c r="AC19" s="76">
        <f t="shared" si="9"/>
        <v>5234</v>
      </c>
      <c r="AD19" s="75">
        <f>AB19-AC19</f>
        <v>-11798</v>
      </c>
      <c r="AE19" s="63"/>
      <c r="AF19" s="75">
        <f t="shared" si="11"/>
        <v>-13405</v>
      </c>
      <c r="AG19" s="75">
        <f t="shared" si="12"/>
        <v>-7109</v>
      </c>
      <c r="AH19" s="75">
        <f>AF19-AG19</f>
        <v>-6296</v>
      </c>
      <c r="AI19" s="63"/>
      <c r="AJ19" s="75">
        <f>AC19-AG19</f>
        <v>12343</v>
      </c>
      <c r="AK19" s="75">
        <f>AB19-AF19</f>
        <v>6841</v>
      </c>
      <c r="AL19" s="63"/>
      <c r="AM19" s="76">
        <v>-6198</v>
      </c>
      <c r="AN19" s="75">
        <f>AB19-AM19</f>
        <v>-366</v>
      </c>
      <c r="AO19" s="63"/>
      <c r="AP19" s="76">
        <v>938</v>
      </c>
      <c r="AQ19" s="75">
        <f>AC19-AP19</f>
        <v>4296</v>
      </c>
      <c r="AR19" s="63"/>
      <c r="AS19" s="63"/>
      <c r="AT19" s="63"/>
      <c r="AU19" s="63"/>
    </row>
    <row r="20" spans="1:47">
      <c r="A20" s="100" t="s">
        <v>344</v>
      </c>
      <c r="B20" s="63"/>
      <c r="C20" s="63"/>
      <c r="D20" s="189">
        <v>0</v>
      </c>
      <c r="E20" s="189">
        <v>0</v>
      </c>
      <c r="F20" s="189">
        <v>0</v>
      </c>
      <c r="G20" s="189">
        <v>0</v>
      </c>
      <c r="H20" s="189">
        <v>0</v>
      </c>
      <c r="I20" s="189">
        <v>0</v>
      </c>
      <c r="J20" s="189">
        <v>0</v>
      </c>
      <c r="K20" s="189">
        <v>0</v>
      </c>
      <c r="L20" s="189">
        <v>0</v>
      </c>
      <c r="M20" s="189">
        <v>0</v>
      </c>
      <c r="N20" s="189">
        <v>0</v>
      </c>
      <c r="O20" s="189">
        <v>0</v>
      </c>
      <c r="P20" s="75">
        <f t="shared" si="4"/>
        <v>0</v>
      </c>
      <c r="Q20" s="76">
        <f t="shared" si="5"/>
        <v>0</v>
      </c>
      <c r="R20" s="75">
        <f t="shared" si="6"/>
        <v>0</v>
      </c>
      <c r="S20" s="63"/>
      <c r="T20" s="76">
        <v>0</v>
      </c>
      <c r="U20" s="76">
        <v>0</v>
      </c>
      <c r="V20" s="75">
        <f t="shared" si="7"/>
        <v>0</v>
      </c>
      <c r="W20" s="63"/>
      <c r="X20" s="75"/>
      <c r="Y20" s="75"/>
      <c r="Z20" s="63"/>
      <c r="AA20" s="63" t="str">
        <f t="shared" si="3"/>
        <v xml:space="preserve">      Over / (Under) Recovered Gas Cost</v>
      </c>
      <c r="AB20" s="75">
        <f t="shared" si="8"/>
        <v>0</v>
      </c>
      <c r="AC20" s="76">
        <f t="shared" si="9"/>
        <v>0</v>
      </c>
      <c r="AD20" s="75">
        <f t="shared" si="10"/>
        <v>0</v>
      </c>
      <c r="AE20" s="63"/>
      <c r="AF20" s="75">
        <f t="shared" si="11"/>
        <v>0</v>
      </c>
      <c r="AG20" s="75">
        <f t="shared" si="12"/>
        <v>0</v>
      </c>
      <c r="AH20" s="75">
        <f t="shared" si="13"/>
        <v>0</v>
      </c>
      <c r="AI20" s="63"/>
      <c r="AJ20" s="75">
        <f t="shared" si="14"/>
        <v>0</v>
      </c>
      <c r="AK20" s="75">
        <f t="shared" si="15"/>
        <v>0</v>
      </c>
      <c r="AL20" s="63"/>
      <c r="AM20" s="76">
        <v>0</v>
      </c>
      <c r="AN20" s="75">
        <f t="shared" si="16"/>
        <v>0</v>
      </c>
      <c r="AO20" s="63"/>
      <c r="AP20" s="76">
        <v>0</v>
      </c>
      <c r="AQ20" s="75">
        <f t="shared" si="17"/>
        <v>0</v>
      </c>
      <c r="AR20" s="63"/>
      <c r="AS20" s="63"/>
      <c r="AT20" s="63"/>
      <c r="AU20" s="63"/>
    </row>
    <row r="21" spans="1:47">
      <c r="A21" s="106" t="s">
        <v>345</v>
      </c>
      <c r="B21" s="63"/>
      <c r="C21" s="63"/>
      <c r="D21" s="75">
        <f>-BACKUP!D65</f>
        <v>-2073</v>
      </c>
      <c r="E21" s="75">
        <f>-BACKUP!E65</f>
        <v>11020</v>
      </c>
      <c r="F21" s="75">
        <f>-BACKUP!F65</f>
        <v>9605</v>
      </c>
      <c r="G21" s="75">
        <f>-BACKUP!G65</f>
        <v>3747</v>
      </c>
      <c r="H21" s="75">
        <f>-BACKUP!H65</f>
        <v>5588</v>
      </c>
      <c r="I21" s="75">
        <f>-BACKUP!I65</f>
        <v>-5065</v>
      </c>
      <c r="J21" s="75">
        <f>-BACKUP!J65</f>
        <v>15728</v>
      </c>
      <c r="K21" s="75">
        <f>-BACKUP!K65</f>
        <v>0</v>
      </c>
      <c r="L21" s="75">
        <f>-BACKUP!L65</f>
        <v>0</v>
      </c>
      <c r="M21" s="75">
        <f>-BACKUP!M65</f>
        <v>0</v>
      </c>
      <c r="N21" s="75">
        <f>-BACKUP!N65</f>
        <v>0</v>
      </c>
      <c r="O21" s="75">
        <f>-BACKUP!O65</f>
        <v>0</v>
      </c>
      <c r="P21" s="75">
        <f t="shared" si="4"/>
        <v>38550</v>
      </c>
      <c r="Q21" s="76">
        <f t="shared" si="5"/>
        <v>38550</v>
      </c>
      <c r="R21" s="75">
        <f t="shared" si="6"/>
        <v>0</v>
      </c>
      <c r="S21" s="63"/>
      <c r="T21" s="76">
        <v>0</v>
      </c>
      <c r="U21" s="76">
        <v>0</v>
      </c>
      <c r="V21" s="75">
        <f t="shared" si="7"/>
        <v>0</v>
      </c>
      <c r="W21" s="63"/>
      <c r="X21" s="75"/>
      <c r="Y21" s="75"/>
      <c r="Z21" s="63"/>
      <c r="AA21" s="63" t="str">
        <f t="shared" si="3"/>
        <v xml:space="preserve">      Exchange Gas - Receivable</v>
      </c>
      <c r="AB21" s="75">
        <f t="shared" si="8"/>
        <v>38550</v>
      </c>
      <c r="AC21" s="76">
        <f t="shared" si="9"/>
        <v>38550</v>
      </c>
      <c r="AD21" s="75">
        <f t="shared" si="10"/>
        <v>0</v>
      </c>
      <c r="AE21" s="63"/>
      <c r="AF21" s="75">
        <f t="shared" si="11"/>
        <v>0</v>
      </c>
      <c r="AG21" s="75">
        <f t="shared" si="12"/>
        <v>0</v>
      </c>
      <c r="AH21" s="75">
        <f t="shared" si="13"/>
        <v>0</v>
      </c>
      <c r="AI21" s="63"/>
      <c r="AJ21" s="75">
        <f t="shared" si="14"/>
        <v>38550</v>
      </c>
      <c r="AK21" s="75">
        <f t="shared" si="15"/>
        <v>38550</v>
      </c>
      <c r="AL21" s="63"/>
      <c r="AM21" s="76">
        <v>22822</v>
      </c>
      <c r="AN21" s="75">
        <f t="shared" si="16"/>
        <v>15728</v>
      </c>
      <c r="AO21" s="63"/>
      <c r="AP21" s="76">
        <v>22822</v>
      </c>
      <c r="AQ21" s="75">
        <f t="shared" si="17"/>
        <v>15728</v>
      </c>
      <c r="AR21" s="63"/>
      <c r="AS21" s="63"/>
      <c r="AT21" s="63"/>
      <c r="AU21" s="63"/>
    </row>
    <row r="22" spans="1:47">
      <c r="A22" s="106" t="s">
        <v>346</v>
      </c>
      <c r="B22" s="63"/>
      <c r="C22" s="63"/>
      <c r="D22" s="75">
        <f>+BACKUP!D343</f>
        <v>32344</v>
      </c>
      <c r="E22" s="75">
        <f>+BACKUP!E343</f>
        <v>-14459</v>
      </c>
      <c r="F22" s="75">
        <f>+BACKUP!F343</f>
        <v>-14880</v>
      </c>
      <c r="G22" s="75">
        <f>+BACKUP!G343</f>
        <v>2400</v>
      </c>
      <c r="H22" s="75">
        <f>+BACKUP!H343</f>
        <v>-8973</v>
      </c>
      <c r="I22" s="75">
        <f>+BACKUP!I343</f>
        <v>1080</v>
      </c>
      <c r="J22" s="75">
        <f>+BACKUP!J343</f>
        <v>-21767</v>
      </c>
      <c r="K22" s="75">
        <f>+BACKUP!K343</f>
        <v>0</v>
      </c>
      <c r="L22" s="75">
        <f>+BACKUP!L343</f>
        <v>0</v>
      </c>
      <c r="M22" s="75">
        <f>+BACKUP!M343</f>
        <v>0</v>
      </c>
      <c r="N22" s="75">
        <f>+BACKUP!N343</f>
        <v>0</v>
      </c>
      <c r="O22" s="75">
        <f>+BACKUP!O343</f>
        <v>0</v>
      </c>
      <c r="P22" s="75">
        <f t="shared" si="4"/>
        <v>-24255</v>
      </c>
      <c r="Q22" s="76">
        <f t="shared" si="5"/>
        <v>-24255</v>
      </c>
      <c r="R22" s="75">
        <f t="shared" si="6"/>
        <v>0</v>
      </c>
      <c r="S22" s="63"/>
      <c r="T22" s="76">
        <v>0</v>
      </c>
      <c r="U22" s="76">
        <v>0</v>
      </c>
      <c r="V22" s="75">
        <f t="shared" si="7"/>
        <v>0</v>
      </c>
      <c r="W22" s="63"/>
      <c r="X22" s="75"/>
      <c r="Y22" s="75"/>
      <c r="Z22" s="63"/>
      <c r="AA22" s="63" t="str">
        <f t="shared" si="3"/>
        <v xml:space="preserve">                    - Payable</v>
      </c>
      <c r="AB22" s="75">
        <f t="shared" si="8"/>
        <v>-24255</v>
      </c>
      <c r="AC22" s="76">
        <f t="shared" si="9"/>
        <v>-24255</v>
      </c>
      <c r="AD22" s="75">
        <f t="shared" si="10"/>
        <v>0</v>
      </c>
      <c r="AE22" s="63"/>
      <c r="AF22" s="75">
        <f t="shared" si="11"/>
        <v>0</v>
      </c>
      <c r="AG22" s="75">
        <f t="shared" si="12"/>
        <v>0</v>
      </c>
      <c r="AH22" s="75">
        <f t="shared" si="13"/>
        <v>0</v>
      </c>
      <c r="AI22" s="63"/>
      <c r="AJ22" s="75">
        <f t="shared" si="14"/>
        <v>-24255</v>
      </c>
      <c r="AK22" s="75">
        <f t="shared" si="15"/>
        <v>-24255</v>
      </c>
      <c r="AL22" s="63"/>
      <c r="AM22" s="76">
        <v>-2488</v>
      </c>
      <c r="AN22" s="75">
        <f t="shared" si="16"/>
        <v>-21767</v>
      </c>
      <c r="AO22" s="63"/>
      <c r="AP22" s="76">
        <v>-2488</v>
      </c>
      <c r="AQ22" s="75">
        <f t="shared" si="17"/>
        <v>-21767</v>
      </c>
      <c r="AR22" s="63"/>
      <c r="AS22" s="63"/>
      <c r="AT22" s="63"/>
      <c r="AU22" s="63"/>
    </row>
    <row r="23" spans="1:47">
      <c r="A23" s="100" t="s">
        <v>347</v>
      </c>
      <c r="B23" s="63"/>
      <c r="C23" s="63"/>
      <c r="D23" s="75">
        <f>-BACKUP!D74</f>
        <v>0</v>
      </c>
      <c r="E23" s="75">
        <f>-BACKUP!E74</f>
        <v>0</v>
      </c>
      <c r="F23" s="75">
        <f>-BACKUP!F74</f>
        <v>0</v>
      </c>
      <c r="G23" s="75">
        <f>-BACKUP!G74</f>
        <v>0</v>
      </c>
      <c r="H23" s="75">
        <f>-BACKUP!H74</f>
        <v>0</v>
      </c>
      <c r="I23" s="75">
        <f>-BACKUP!I74</f>
        <v>-162</v>
      </c>
      <c r="J23" s="75">
        <f>-BACKUP!J74</f>
        <v>0</v>
      </c>
      <c r="K23" s="75">
        <f>-BACKUP!K74</f>
        <v>0</v>
      </c>
      <c r="L23" s="75">
        <f>-BACKUP!L74</f>
        <v>0</v>
      </c>
      <c r="M23" s="75">
        <f>-BACKUP!M74</f>
        <v>0</v>
      </c>
      <c r="N23" s="75">
        <f>-BACKUP!N74</f>
        <v>0</v>
      </c>
      <c r="O23" s="75">
        <f>-BACKUP!O74</f>
        <v>-1080</v>
      </c>
      <c r="P23" s="75">
        <f t="shared" si="4"/>
        <v>-1242</v>
      </c>
      <c r="Q23" s="76">
        <f t="shared" si="5"/>
        <v>-162</v>
      </c>
      <c r="R23" s="75">
        <f t="shared" si="6"/>
        <v>-1080</v>
      </c>
      <c r="S23" s="63"/>
      <c r="T23" s="76">
        <v>0</v>
      </c>
      <c r="U23" s="76">
        <v>810</v>
      </c>
      <c r="V23" s="75">
        <f t="shared" si="7"/>
        <v>-810</v>
      </c>
      <c r="W23" s="63"/>
      <c r="X23" s="75"/>
      <c r="Y23" s="75"/>
      <c r="Z23" s="63"/>
      <c r="AA23" s="63" t="str">
        <f t="shared" si="3"/>
        <v xml:space="preserve">      Prepayments</v>
      </c>
      <c r="AB23" s="75">
        <f t="shared" si="8"/>
        <v>-1242</v>
      </c>
      <c r="AC23" s="76">
        <f t="shared" si="9"/>
        <v>-162</v>
      </c>
      <c r="AD23" s="75">
        <f t="shared" si="10"/>
        <v>-1080</v>
      </c>
      <c r="AE23" s="63"/>
      <c r="AF23" s="75">
        <f t="shared" si="11"/>
        <v>0</v>
      </c>
      <c r="AG23" s="75">
        <f t="shared" si="12"/>
        <v>810</v>
      </c>
      <c r="AH23" s="75">
        <f t="shared" si="13"/>
        <v>-810</v>
      </c>
      <c r="AI23" s="63"/>
      <c r="AJ23" s="75">
        <f t="shared" si="14"/>
        <v>-972</v>
      </c>
      <c r="AK23" s="75">
        <f t="shared" si="15"/>
        <v>-1242</v>
      </c>
      <c r="AL23" s="63"/>
      <c r="AM23" s="76">
        <v>-1080</v>
      </c>
      <c r="AN23" s="75">
        <f t="shared" si="16"/>
        <v>-162</v>
      </c>
      <c r="AO23" s="63"/>
      <c r="AP23" s="76">
        <v>0</v>
      </c>
      <c r="AQ23" s="75">
        <f t="shared" si="17"/>
        <v>-162</v>
      </c>
      <c r="AR23" s="63"/>
      <c r="AS23" s="63"/>
      <c r="AT23" s="63"/>
      <c r="AU23" s="63"/>
    </row>
    <row r="24" spans="1:47">
      <c r="A24" s="100" t="s">
        <v>348</v>
      </c>
      <c r="B24" s="63"/>
      <c r="C24" s="63"/>
      <c r="D24" s="75">
        <f>BACKUP!D398</f>
        <v>2875</v>
      </c>
      <c r="E24" s="75">
        <f>BACKUP!E398</f>
        <v>2875</v>
      </c>
      <c r="F24" s="75">
        <f>BACKUP!F398</f>
        <v>-2187</v>
      </c>
      <c r="G24" s="75">
        <f>BACKUP!G398</f>
        <v>2875</v>
      </c>
      <c r="H24" s="75">
        <f>BACKUP!H398</f>
        <v>-563</v>
      </c>
      <c r="I24" s="75">
        <f>BACKUP!I398</f>
        <v>-5875</v>
      </c>
      <c r="J24" s="75">
        <f>BACKUP!J398</f>
        <v>2875</v>
      </c>
      <c r="K24" s="75">
        <f>BACKUP!K398</f>
        <v>2875</v>
      </c>
      <c r="L24" s="75">
        <f>BACKUP!L398</f>
        <v>-2187</v>
      </c>
      <c r="M24" s="75">
        <f>BACKUP!M398</f>
        <v>2875</v>
      </c>
      <c r="N24" s="75">
        <f>BACKUP!N398</f>
        <v>-563</v>
      </c>
      <c r="O24" s="75">
        <f>BACKUP!O398</f>
        <v>-5875</v>
      </c>
      <c r="P24" s="75">
        <f t="shared" si="4"/>
        <v>0</v>
      </c>
      <c r="Q24" s="76">
        <f t="shared" si="5"/>
        <v>2875</v>
      </c>
      <c r="R24" s="75">
        <f t="shared" si="6"/>
        <v>-2875</v>
      </c>
      <c r="S24" s="63"/>
      <c r="T24" s="76">
        <v>0</v>
      </c>
      <c r="U24" s="76">
        <v>3563</v>
      </c>
      <c r="V24" s="75">
        <f t="shared" si="7"/>
        <v>-3563</v>
      </c>
      <c r="W24" s="63"/>
      <c r="X24" s="63"/>
      <c r="Y24" s="63"/>
      <c r="Z24" s="63"/>
      <c r="AA24" s="63" t="str">
        <f t="shared" si="3"/>
        <v xml:space="preserve">      Accrued Interest - Third Party</v>
      </c>
      <c r="AB24" s="75">
        <f t="shared" si="8"/>
        <v>0</v>
      </c>
      <c r="AC24" s="76">
        <f t="shared" si="9"/>
        <v>3563</v>
      </c>
      <c r="AD24" s="75">
        <f t="shared" si="10"/>
        <v>-3563</v>
      </c>
      <c r="AE24" s="63"/>
      <c r="AF24" s="75">
        <f t="shared" si="11"/>
        <v>0</v>
      </c>
      <c r="AG24" s="75">
        <f t="shared" si="12"/>
        <v>3563</v>
      </c>
      <c r="AH24" s="75">
        <f t="shared" si="13"/>
        <v>-3563</v>
      </c>
      <c r="AI24" s="63"/>
      <c r="AJ24" s="75">
        <f t="shared" si="14"/>
        <v>0</v>
      </c>
      <c r="AK24" s="75">
        <f t="shared" si="15"/>
        <v>0</v>
      </c>
      <c r="AL24" s="63"/>
      <c r="AM24" s="76">
        <v>0</v>
      </c>
      <c r="AN24" s="75">
        <f t="shared" si="16"/>
        <v>0</v>
      </c>
      <c r="AO24" s="63"/>
      <c r="AP24" s="76">
        <v>3563</v>
      </c>
      <c r="AQ24" s="75">
        <f t="shared" si="17"/>
        <v>0</v>
      </c>
      <c r="AR24" s="63"/>
      <c r="AS24" s="63"/>
      <c r="AT24" s="63"/>
      <c r="AU24" s="63"/>
    </row>
    <row r="25" spans="1:47">
      <c r="A25" s="100" t="s">
        <v>349</v>
      </c>
      <c r="B25" s="63"/>
      <c r="C25" s="63"/>
      <c r="D25" s="189">
        <f>BACKUP!D368-1</f>
        <v>-896</v>
      </c>
      <c r="E25" s="189">
        <f>BACKUP!E368+2</f>
        <v>4102</v>
      </c>
      <c r="F25" s="189">
        <f>BACKUP!F368-2</f>
        <v>-1420</v>
      </c>
      <c r="G25" s="189">
        <f>BACKUP!G368+2</f>
        <v>1757</v>
      </c>
      <c r="H25" s="75">
        <f>BACKUP!H368</f>
        <v>-3621</v>
      </c>
      <c r="I25" s="189">
        <f>BACKUP!I368-1</f>
        <v>-1874</v>
      </c>
      <c r="J25" s="75">
        <f>BACKUP!J368</f>
        <v>2393</v>
      </c>
      <c r="K25" s="75">
        <f>BACKUP!K368</f>
        <v>1781</v>
      </c>
      <c r="L25" s="75">
        <f>BACKUP!L368</f>
        <v>-558</v>
      </c>
      <c r="M25" s="75">
        <f>BACKUP!M368</f>
        <v>234</v>
      </c>
      <c r="N25" s="75">
        <f>BACKUP!N368</f>
        <v>1884</v>
      </c>
      <c r="O25" s="75">
        <f>BACKUP!O368</f>
        <v>-2829</v>
      </c>
      <c r="P25" s="75">
        <f t="shared" si="4"/>
        <v>953</v>
      </c>
      <c r="Q25" s="76">
        <f t="shared" si="5"/>
        <v>441</v>
      </c>
      <c r="R25" s="75">
        <f t="shared" si="6"/>
        <v>512</v>
      </c>
      <c r="S25" s="63"/>
      <c r="T25" s="76">
        <v>-192</v>
      </c>
      <c r="U25" s="76">
        <v>568</v>
      </c>
      <c r="V25" s="75">
        <f t="shared" si="7"/>
        <v>-760</v>
      </c>
      <c r="W25" s="63"/>
      <c r="X25" s="75"/>
      <c r="Y25" s="75"/>
      <c r="Z25" s="63"/>
      <c r="AA25" s="63" t="str">
        <f t="shared" si="3"/>
        <v xml:space="preserve">      Accrued Taxes, other than income</v>
      </c>
      <c r="AB25" s="75">
        <f t="shared" si="8"/>
        <v>953</v>
      </c>
      <c r="AC25" s="76">
        <f t="shared" si="9"/>
        <v>1664</v>
      </c>
      <c r="AD25" s="75">
        <f t="shared" si="10"/>
        <v>-711</v>
      </c>
      <c r="AE25" s="63"/>
      <c r="AF25" s="75">
        <f t="shared" si="11"/>
        <v>-192</v>
      </c>
      <c r="AG25" s="75">
        <f t="shared" si="12"/>
        <v>568</v>
      </c>
      <c r="AH25" s="75">
        <f t="shared" si="13"/>
        <v>-760</v>
      </c>
      <c r="AI25" s="63"/>
      <c r="AJ25" s="75">
        <f t="shared" si="14"/>
        <v>1096</v>
      </c>
      <c r="AK25" s="75">
        <f t="shared" si="15"/>
        <v>1145</v>
      </c>
      <c r="AL25" s="63"/>
      <c r="AM25" s="76">
        <v>590</v>
      </c>
      <c r="AN25" s="75">
        <f t="shared" si="16"/>
        <v>363</v>
      </c>
      <c r="AO25" s="63"/>
      <c r="AP25" s="76">
        <v>1301</v>
      </c>
      <c r="AQ25" s="75">
        <f t="shared" si="17"/>
        <v>363</v>
      </c>
      <c r="AR25" s="63"/>
      <c r="AS25" s="63"/>
      <c r="AT25" s="63"/>
      <c r="AU25" s="63"/>
    </row>
    <row r="26" spans="1:47">
      <c r="A26" s="106" t="s">
        <v>350</v>
      </c>
      <c r="B26" s="63"/>
      <c r="C26" s="63"/>
      <c r="D26" s="189">
        <f>-BACKUP!D99-BACKUP!D113+BACKUP!D418+BACKUP!D429-D330-1</f>
        <v>4098</v>
      </c>
      <c r="E26" s="189">
        <f>-BACKUP!E99-BACKUP!E113+BACKUP!E418+BACKUP!E429-E330+1</f>
        <v>-11222</v>
      </c>
      <c r="F26" s="138">
        <f>-BACKUP!F99-BACKUP!F113+BACKUP!F418+BACKUP!F429-F330</f>
        <v>5101</v>
      </c>
      <c r="G26" s="189">
        <f>-BACKUP!G99-BACKUP!G113+BACKUP!G418+BACKUP!G429-G330+11</f>
        <v>-1337</v>
      </c>
      <c r="H26" s="189">
        <f>-BACKUP!H99-BACKUP!H113+BACKUP!H418+BACKUP!H429-H330+7</f>
        <v>-2610</v>
      </c>
      <c r="I26" s="189">
        <f>-BACKUP!I99-BACKUP!I113+BACKUP!I418+BACKUP!I429-I330+2</f>
        <v>1071</v>
      </c>
      <c r="J26" s="189">
        <f>-BACKUP!J99-BACKUP!J113+BACKUP!J418+BACKUP!J429-J330+10</f>
        <v>-2670</v>
      </c>
      <c r="K26" s="138">
        <f>-BACKUP!K99-BACKUP!K113+BACKUP!K418+BACKUP!K429-K330</f>
        <v>485</v>
      </c>
      <c r="L26" s="138">
        <f>-BACKUP!L99-BACKUP!L113+BACKUP!L418+BACKUP!L429-L330</f>
        <v>-2382</v>
      </c>
      <c r="M26" s="138">
        <f>-BACKUP!M99-BACKUP!M113+BACKUP!M418+BACKUP!M429-M330</f>
        <v>596</v>
      </c>
      <c r="N26" s="138">
        <f>-BACKUP!N99-BACKUP!N113+BACKUP!N418+BACKUP!N429-N330</f>
        <v>1096</v>
      </c>
      <c r="O26" s="138">
        <f>-BACKUP!O99-BACKUP!O113+BACKUP!O418+BACKUP!O429-O330</f>
        <v>-9653</v>
      </c>
      <c r="P26" s="75">
        <f t="shared" si="4"/>
        <v>-17427</v>
      </c>
      <c r="Q26" s="76">
        <f t="shared" si="5"/>
        <v>-7569</v>
      </c>
      <c r="R26" s="75">
        <f t="shared" si="6"/>
        <v>-9858</v>
      </c>
      <c r="S26" s="63"/>
      <c r="T26" s="76">
        <v>-7993</v>
      </c>
      <c r="U26" s="76">
        <v>-541</v>
      </c>
      <c r="V26" s="75">
        <f t="shared" si="7"/>
        <v>-7452</v>
      </c>
      <c r="W26" s="63"/>
      <c r="X26" s="75"/>
      <c r="Y26" s="75"/>
      <c r="Z26" s="63"/>
      <c r="AA26" s="63" t="str">
        <f t="shared" si="3"/>
        <v xml:space="preserve">      Other Current Assets or Liabilities (W/O Reserve Activity)</v>
      </c>
      <c r="AB26" s="75">
        <f t="shared" si="8"/>
        <v>-17427</v>
      </c>
      <c r="AC26" s="76">
        <f t="shared" si="9"/>
        <v>-9466</v>
      </c>
      <c r="AD26" s="75">
        <f t="shared" si="10"/>
        <v>-7961</v>
      </c>
      <c r="AE26" s="63"/>
      <c r="AF26" s="75">
        <f t="shared" si="11"/>
        <v>-7993</v>
      </c>
      <c r="AG26" s="75">
        <f t="shared" si="12"/>
        <v>-541</v>
      </c>
      <c r="AH26" s="75">
        <f t="shared" si="13"/>
        <v>-7452</v>
      </c>
      <c r="AI26" s="63"/>
      <c r="AJ26" s="75">
        <f t="shared" si="14"/>
        <v>-8925</v>
      </c>
      <c r="AK26" s="75">
        <f t="shared" si="15"/>
        <v>-9434</v>
      </c>
      <c r="AL26" s="63"/>
      <c r="AM26" s="76">
        <v>-14305</v>
      </c>
      <c r="AN26" s="75">
        <f t="shared" si="16"/>
        <v>-3122</v>
      </c>
      <c r="AO26" s="63"/>
      <c r="AP26" s="76">
        <v>-6584</v>
      </c>
      <c r="AQ26" s="75">
        <f t="shared" si="17"/>
        <v>-2882</v>
      </c>
      <c r="AR26" s="63"/>
      <c r="AS26" s="63"/>
      <c r="AT26" s="63"/>
      <c r="AU26" s="63"/>
    </row>
    <row r="27" spans="1:47" ht="6" customHeight="1">
      <c r="A27" s="94"/>
      <c r="B27" s="63"/>
      <c r="C27" s="63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63"/>
      <c r="Q27" s="76"/>
      <c r="R27" s="63"/>
      <c r="S27" s="63"/>
      <c r="T27" s="76"/>
      <c r="U27" s="76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76"/>
      <c r="AH27" s="63"/>
      <c r="AI27" s="63"/>
      <c r="AJ27" s="63"/>
      <c r="AK27" s="63"/>
      <c r="AL27" s="63"/>
      <c r="AM27" s="76"/>
      <c r="AN27" s="75"/>
      <c r="AO27" s="63"/>
      <c r="AP27" s="76"/>
      <c r="AQ27" s="75"/>
      <c r="AR27" s="63"/>
      <c r="AS27" s="63"/>
      <c r="AT27" s="63"/>
      <c r="AU27" s="63"/>
    </row>
    <row r="28" spans="1:47">
      <c r="A28" s="106" t="s">
        <v>214</v>
      </c>
      <c r="B28" s="63"/>
      <c r="C28" s="63"/>
      <c r="D28" s="75">
        <f t="shared" ref="D28:O28" si="18">-D298-D299</f>
        <v>0</v>
      </c>
      <c r="E28" s="75">
        <f t="shared" si="18"/>
        <v>0</v>
      </c>
      <c r="F28" s="75">
        <f t="shared" si="18"/>
        <v>0</v>
      </c>
      <c r="G28" s="75">
        <f t="shared" si="18"/>
        <v>0</v>
      </c>
      <c r="H28" s="75">
        <f t="shared" si="18"/>
        <v>0</v>
      </c>
      <c r="I28" s="75">
        <f t="shared" si="18"/>
        <v>0</v>
      </c>
      <c r="J28" s="75">
        <f t="shared" si="18"/>
        <v>0</v>
      </c>
      <c r="K28" s="75">
        <f t="shared" si="18"/>
        <v>0</v>
      </c>
      <c r="L28" s="75">
        <f t="shared" si="18"/>
        <v>0</v>
      </c>
      <c r="M28" s="75">
        <f t="shared" si="18"/>
        <v>0</v>
      </c>
      <c r="N28" s="75">
        <f t="shared" si="18"/>
        <v>0</v>
      </c>
      <c r="O28" s="75">
        <f t="shared" si="18"/>
        <v>0</v>
      </c>
      <c r="P28" s="75">
        <f t="shared" ref="P28:P34" si="19">SUM(D28:O28)</f>
        <v>0</v>
      </c>
      <c r="Q28" s="76">
        <f t="shared" si="5"/>
        <v>0</v>
      </c>
      <c r="R28" s="75">
        <f t="shared" ref="R28:R34" si="20">P28-Q28</f>
        <v>0</v>
      </c>
      <c r="S28" s="63"/>
      <c r="T28" s="76">
        <v>0</v>
      </c>
      <c r="U28" s="76">
        <v>0</v>
      </c>
      <c r="V28" s="75">
        <f t="shared" ref="V28:V34" si="21">T28-U28</f>
        <v>0</v>
      </c>
      <c r="W28" s="63"/>
      <c r="X28" s="75"/>
      <c r="Y28" s="75"/>
      <c r="Z28" s="63"/>
      <c r="AA28" s="63" t="str">
        <f t="shared" ref="AA28:AA34" si="22">A28</f>
        <v xml:space="preserve">   Deferred Severance / Relocation Charges</v>
      </c>
      <c r="AB28" s="75">
        <f t="shared" ref="AB28:AB34" si="23">P28</f>
        <v>0</v>
      </c>
      <c r="AC28" s="76">
        <f t="shared" si="9"/>
        <v>0</v>
      </c>
      <c r="AD28" s="75">
        <f t="shared" ref="AD28:AD34" si="24">AB28-AC28</f>
        <v>0</v>
      </c>
      <c r="AE28" s="63"/>
      <c r="AF28" s="75">
        <f t="shared" ref="AF28:AG34" si="25">T28</f>
        <v>0</v>
      </c>
      <c r="AG28" s="75">
        <f t="shared" si="25"/>
        <v>0</v>
      </c>
      <c r="AH28" s="75">
        <f t="shared" ref="AH28:AH34" si="26">AF28-AG28</f>
        <v>0</v>
      </c>
      <c r="AI28" s="63"/>
      <c r="AJ28" s="75">
        <f t="shared" ref="AJ28:AJ34" si="27">AC28-AG28</f>
        <v>0</v>
      </c>
      <c r="AK28" s="75">
        <f t="shared" ref="AK28:AK34" si="28">AB28-AF28</f>
        <v>0</v>
      </c>
      <c r="AL28" s="63"/>
      <c r="AM28" s="76">
        <v>0</v>
      </c>
      <c r="AN28" s="75">
        <f t="shared" ref="AN28:AN34" si="29">AB28-AM28</f>
        <v>0</v>
      </c>
      <c r="AO28" s="63"/>
      <c r="AP28" s="76">
        <v>0</v>
      </c>
      <c r="AQ28" s="75">
        <f t="shared" ref="AQ28:AQ34" si="30">AC28-AP28</f>
        <v>0</v>
      </c>
      <c r="AR28" s="63"/>
      <c r="AS28" s="63"/>
      <c r="AT28" s="63"/>
      <c r="AU28" s="63"/>
    </row>
    <row r="29" spans="1:47">
      <c r="A29" s="106" t="s">
        <v>559</v>
      </c>
      <c r="B29" s="63"/>
      <c r="C29" s="63"/>
      <c r="D29" s="75">
        <f>-BACKUP!D43-BACKUP!D146+BACKUP!D335+BACKUP!D460+BACKUP!D494</f>
        <v>-483</v>
      </c>
      <c r="E29" s="75">
        <f>-BACKUP!E43-BACKUP!E146+BACKUP!E335+BACKUP!E460+BACKUP!E494</f>
        <v>75</v>
      </c>
      <c r="F29" s="75">
        <f>-BACKUP!F43-BACKUP!F146+BACKUP!F335+BACKUP!F460+BACKUP!F494</f>
        <v>62</v>
      </c>
      <c r="G29" s="75">
        <f>-BACKUP!G43-BACKUP!G146+BACKUP!G335+BACKUP!G460+BACKUP!G494</f>
        <v>153</v>
      </c>
      <c r="H29" s="75">
        <f>-BACKUP!H43-BACKUP!H146+BACKUP!H335+BACKUP!H460+BACKUP!H494</f>
        <v>141</v>
      </c>
      <c r="I29" s="75">
        <f>-BACKUP!I43-BACKUP!I146+BACKUP!I335+BACKUP!I460+BACKUP!I494</f>
        <v>138</v>
      </c>
      <c r="J29" s="75">
        <f>-BACKUP!J43-BACKUP!J146+BACKUP!J335+BACKUP!J460+BACKUP!J494</f>
        <v>717</v>
      </c>
      <c r="K29" s="75">
        <f>-BACKUP!K43-BACKUP!K146+BACKUP!K335+BACKUP!K460+BACKUP!K494</f>
        <v>0</v>
      </c>
      <c r="L29" s="75">
        <f>-BACKUP!L43-BACKUP!L146+BACKUP!L335+BACKUP!L460+BACKUP!L494</f>
        <v>0</v>
      </c>
      <c r="M29" s="75">
        <f>-BACKUP!M43-BACKUP!M146+BACKUP!M335+BACKUP!M460+BACKUP!M494</f>
        <v>0</v>
      </c>
      <c r="N29" s="75">
        <f>-BACKUP!N43-BACKUP!N146+BACKUP!N335+BACKUP!N460+BACKUP!N494</f>
        <v>0</v>
      </c>
      <c r="O29" s="75">
        <f>-BACKUP!O43-BACKUP!O146+BACKUP!O335+BACKUP!O460+BACKUP!O494</f>
        <v>0</v>
      </c>
      <c r="P29" s="75">
        <f>SUM(D29:O29)</f>
        <v>803</v>
      </c>
      <c r="Q29" s="76">
        <f t="shared" si="5"/>
        <v>803</v>
      </c>
      <c r="R29" s="75">
        <f>P29-Q29</f>
        <v>0</v>
      </c>
      <c r="S29" s="63"/>
      <c r="T29" s="76">
        <v>0</v>
      </c>
      <c r="U29" s="76">
        <v>0</v>
      </c>
      <c r="V29" s="75">
        <f>T29-U29</f>
        <v>0</v>
      </c>
      <c r="W29" s="63"/>
      <c r="X29" s="63"/>
      <c r="Y29" s="63"/>
      <c r="Z29" s="63"/>
      <c r="AA29" s="63" t="str">
        <f t="shared" si="22"/>
        <v xml:space="preserve">   Price Risk Management Activities (Net)</v>
      </c>
      <c r="AB29" s="75">
        <f>P29</f>
        <v>803</v>
      </c>
      <c r="AC29" s="76">
        <f t="shared" si="9"/>
        <v>803</v>
      </c>
      <c r="AD29" s="75">
        <f>AB29-AC29</f>
        <v>0</v>
      </c>
      <c r="AE29" s="63"/>
      <c r="AF29" s="75">
        <f>T29</f>
        <v>0</v>
      </c>
      <c r="AG29" s="75">
        <f>U29</f>
        <v>0</v>
      </c>
      <c r="AH29" s="75">
        <f>AF29-AG29</f>
        <v>0</v>
      </c>
      <c r="AI29" s="63"/>
      <c r="AJ29" s="75">
        <f>AC29-AG29</f>
        <v>803</v>
      </c>
      <c r="AK29" s="75">
        <f>AB29-AF29</f>
        <v>803</v>
      </c>
      <c r="AL29" s="63"/>
      <c r="AM29" s="76">
        <v>86</v>
      </c>
      <c r="AN29" s="75">
        <f>AB29-AM29</f>
        <v>717</v>
      </c>
      <c r="AO29" s="63"/>
      <c r="AP29" s="76">
        <v>86</v>
      </c>
      <c r="AQ29" s="75">
        <f>AC29-AP29</f>
        <v>717</v>
      </c>
      <c r="AR29" s="63"/>
      <c r="AS29" s="63"/>
      <c r="AT29" s="63"/>
      <c r="AU29" s="63"/>
    </row>
    <row r="30" spans="1:47">
      <c r="A30" s="100" t="s">
        <v>351</v>
      </c>
      <c r="B30" s="63"/>
      <c r="C30" s="63"/>
      <c r="D30" s="75">
        <f>-BACKUP!D116-BACKUP!D121</f>
        <v>-525</v>
      </c>
      <c r="E30" s="75">
        <f>-BACKUP!E116-BACKUP!E121</f>
        <v>-329</v>
      </c>
      <c r="F30" s="189">
        <f>-BACKUP!F116-BACKUP!F121-1</f>
        <v>-313</v>
      </c>
      <c r="G30" s="189">
        <f>-BACKUP!G116-BACKUP!G121+1</f>
        <v>-1284</v>
      </c>
      <c r="H30" s="189">
        <f>-BACKUP!H116-BACKUP!H121-1</f>
        <v>-318</v>
      </c>
      <c r="I30" s="75">
        <f>-BACKUP!I116-BACKUP!I121</f>
        <v>-436</v>
      </c>
      <c r="J30" s="75">
        <f>-BACKUP!J116-BACKUP!J121</f>
        <v>-335</v>
      </c>
      <c r="K30" s="75">
        <f>-BACKUP!K116-BACKUP!K121</f>
        <v>-270</v>
      </c>
      <c r="L30" s="75">
        <f>-BACKUP!L116-BACKUP!L121</f>
        <v>-324</v>
      </c>
      <c r="M30" s="75">
        <f>-BACKUP!M116-BACKUP!M121</f>
        <v>-325</v>
      </c>
      <c r="N30" s="75">
        <f>-BACKUP!N116-BACKUP!N121</f>
        <v>-342</v>
      </c>
      <c r="O30" s="75">
        <f>-BACKUP!O116-BACKUP!O121</f>
        <v>-16</v>
      </c>
      <c r="P30" s="75">
        <f t="shared" si="19"/>
        <v>-4817</v>
      </c>
      <c r="Q30" s="76">
        <f t="shared" si="5"/>
        <v>-3540</v>
      </c>
      <c r="R30" s="75">
        <f t="shared" si="20"/>
        <v>-1277</v>
      </c>
      <c r="S30" s="63"/>
      <c r="T30" s="76">
        <v>-3693</v>
      </c>
      <c r="U30" s="76">
        <v>-3010</v>
      </c>
      <c r="V30" s="75">
        <f t="shared" si="21"/>
        <v>-683</v>
      </c>
      <c r="W30" s="63"/>
      <c r="X30" s="75"/>
      <c r="Y30" s="75"/>
      <c r="Z30" s="63"/>
      <c r="AA30" s="63" t="str">
        <f t="shared" si="22"/>
        <v xml:space="preserve">   Equity Earnings</v>
      </c>
      <c r="AB30" s="75">
        <f t="shared" si="23"/>
        <v>-4817</v>
      </c>
      <c r="AC30" s="76">
        <f t="shared" si="9"/>
        <v>-4134</v>
      </c>
      <c r="AD30" s="75">
        <f t="shared" si="24"/>
        <v>-683</v>
      </c>
      <c r="AE30" s="63"/>
      <c r="AF30" s="75">
        <f t="shared" si="25"/>
        <v>-3693</v>
      </c>
      <c r="AG30" s="75">
        <f t="shared" si="25"/>
        <v>-3010</v>
      </c>
      <c r="AH30" s="75">
        <f t="shared" si="26"/>
        <v>-683</v>
      </c>
      <c r="AI30" s="63"/>
      <c r="AJ30" s="75">
        <f t="shared" si="27"/>
        <v>-1124</v>
      </c>
      <c r="AK30" s="75">
        <f t="shared" si="28"/>
        <v>-1124</v>
      </c>
      <c r="AL30" s="63"/>
      <c r="AM30" s="76">
        <v>-4840</v>
      </c>
      <c r="AN30" s="75">
        <f t="shared" si="29"/>
        <v>23</v>
      </c>
      <c r="AO30" s="63"/>
      <c r="AP30" s="76">
        <v>-4157</v>
      </c>
      <c r="AQ30" s="75">
        <f t="shared" si="30"/>
        <v>23</v>
      </c>
      <c r="AR30" s="63"/>
      <c r="AS30" s="63"/>
      <c r="AT30" s="63"/>
      <c r="AU30" s="63"/>
    </row>
    <row r="31" spans="1:47">
      <c r="A31" s="106" t="s">
        <v>520</v>
      </c>
      <c r="B31" s="63"/>
      <c r="C31" s="63"/>
      <c r="D31" s="195">
        <f>-SUM(BACKUP!D117:'BACKUP'!D119)+BACKUP!D119-BACKUP!D120</f>
        <v>0</v>
      </c>
      <c r="E31" s="195">
        <f>-SUM(BACKUP!E117:'BACKUP'!E119)+BACKUP!E119-BACKUP!E120</f>
        <v>0</v>
      </c>
      <c r="F31" s="195">
        <f>-SUM(BACKUP!F117:'BACKUP'!F119)+BACKUP!F119-BACKUP!F120</f>
        <v>800</v>
      </c>
      <c r="G31" s="195">
        <f>-SUM(BACKUP!G117:'BACKUP'!G119)+BACKUP!G119-BACKUP!G120</f>
        <v>0</v>
      </c>
      <c r="H31" s="195">
        <f>-SUM(BACKUP!H117:'BACKUP'!H119)+BACKUP!H119-BACKUP!H120</f>
        <v>0</v>
      </c>
      <c r="I31" s="195">
        <f>-SUM(BACKUP!I117:'BACKUP'!I119)+BACKUP!I119-BACKUP!I120</f>
        <v>3800</v>
      </c>
      <c r="J31" s="195">
        <f>-SUM(BACKUP!J117:'BACKUP'!J119)+BACKUP!J119-BACKUP!J120</f>
        <v>0</v>
      </c>
      <c r="K31" s="195">
        <f>-SUM(BACKUP!K117:'BACKUP'!K119)+BACKUP!K119-BACKUP!K120</f>
        <v>2000</v>
      </c>
      <c r="L31" s="195">
        <f>-SUM(BACKUP!L117:'BACKUP'!L119)+BACKUP!L119-BACKUP!L120</f>
        <v>800</v>
      </c>
      <c r="M31" s="195">
        <f>-SUM(BACKUP!M117:'BACKUP'!M119)+BACKUP!M119-BACKUP!M120</f>
        <v>0</v>
      </c>
      <c r="N31" s="195">
        <f>-SUM(BACKUP!N117:'BACKUP'!N119)+BACKUP!N119-BACKUP!N120</f>
        <v>0</v>
      </c>
      <c r="O31" s="195">
        <f>-SUM(BACKUP!O117:'BACKUP'!O119)+BACKUP!O119-BACKUP!O120</f>
        <v>800</v>
      </c>
      <c r="P31" s="75">
        <f t="shared" si="19"/>
        <v>8200</v>
      </c>
      <c r="Q31" s="76">
        <f t="shared" si="5"/>
        <v>4600</v>
      </c>
      <c r="R31" s="75">
        <f t="shared" si="20"/>
        <v>3600</v>
      </c>
      <c r="S31" s="63"/>
      <c r="T31" s="76">
        <v>3200</v>
      </c>
      <c r="U31" s="76">
        <v>2400</v>
      </c>
      <c r="V31" s="75">
        <f t="shared" si="21"/>
        <v>800</v>
      </c>
      <c r="W31" s="63"/>
      <c r="X31" s="75"/>
      <c r="Y31" s="75"/>
      <c r="Z31" s="63"/>
      <c r="AA31" s="63" t="str">
        <f t="shared" si="22"/>
        <v xml:space="preserve">   Equity / Partner. Distributions / Overthrust Sale (Book Basis)</v>
      </c>
      <c r="AB31" s="75">
        <f t="shared" si="23"/>
        <v>8200</v>
      </c>
      <c r="AC31" s="76">
        <f t="shared" si="9"/>
        <v>7400</v>
      </c>
      <c r="AD31" s="75">
        <f t="shared" si="24"/>
        <v>800</v>
      </c>
      <c r="AE31" s="63"/>
      <c r="AF31" s="75">
        <f t="shared" si="25"/>
        <v>3200</v>
      </c>
      <c r="AG31" s="75">
        <f t="shared" si="25"/>
        <v>2400</v>
      </c>
      <c r="AH31" s="75">
        <f t="shared" si="26"/>
        <v>800</v>
      </c>
      <c r="AI31" s="63"/>
      <c r="AJ31" s="75">
        <f t="shared" si="27"/>
        <v>5000</v>
      </c>
      <c r="AK31" s="75">
        <f t="shared" si="28"/>
        <v>5000</v>
      </c>
      <c r="AL31" s="63"/>
      <c r="AM31" s="76">
        <v>6200</v>
      </c>
      <c r="AN31" s="75">
        <f t="shared" si="29"/>
        <v>2000</v>
      </c>
      <c r="AO31" s="63"/>
      <c r="AP31" s="76">
        <v>5400</v>
      </c>
      <c r="AQ31" s="75">
        <f t="shared" si="30"/>
        <v>2000</v>
      </c>
      <c r="AR31" s="63"/>
      <c r="AS31" s="63"/>
      <c r="AT31" s="63"/>
      <c r="AU31" s="63"/>
    </row>
    <row r="32" spans="1:47">
      <c r="A32" s="100" t="s">
        <v>352</v>
      </c>
      <c r="B32" s="63"/>
      <c r="C32" s="63"/>
      <c r="D32" s="176">
        <f>-BACKUP!D492-BACKUP!D493+267</f>
        <v>267</v>
      </c>
      <c r="E32" s="176">
        <f>-BACKUP!E492-BACKUP!E493-259</f>
        <v>-259</v>
      </c>
      <c r="F32" s="176">
        <f>-BACKUP!F492-BACKUP!F493-8</f>
        <v>-8</v>
      </c>
      <c r="G32" s="138">
        <f>-BACKUP!G492-BACKUP!G493</f>
        <v>0</v>
      </c>
      <c r="H32" s="75">
        <f>-BACKUP!H492-BACKUP!H493</f>
        <v>0</v>
      </c>
      <c r="I32" s="176">
        <f>-BACKUP!I492-BACKUP!I493-553</f>
        <v>-553</v>
      </c>
      <c r="J32" s="75">
        <f>-BACKUP!J492-BACKUP!J493</f>
        <v>0</v>
      </c>
      <c r="K32" s="138">
        <f>-BACKUP!K492-BACKUP!K493</f>
        <v>0</v>
      </c>
      <c r="L32" s="176">
        <f>-BACKUP!L492-BACKUP!L493</f>
        <v>0</v>
      </c>
      <c r="M32" s="75">
        <f>-BACKUP!M492-BACKUP!M493</f>
        <v>0</v>
      </c>
      <c r="N32" s="75">
        <f>-BACKUP!N492-BACKUP!N493</f>
        <v>0</v>
      </c>
      <c r="O32" s="176">
        <f>-BACKUP!O492-BACKUP!O493+(-8800+200+1000)-2300+7600</f>
        <v>-2300</v>
      </c>
      <c r="P32" s="75">
        <f t="shared" si="19"/>
        <v>-2853</v>
      </c>
      <c r="Q32" s="76">
        <f t="shared" si="5"/>
        <v>-553</v>
      </c>
      <c r="R32" s="75">
        <f t="shared" si="20"/>
        <v>-2300</v>
      </c>
      <c r="S32" s="63"/>
      <c r="T32" s="76">
        <v>-9900</v>
      </c>
      <c r="U32" s="76">
        <v>-9900</v>
      </c>
      <c r="V32" s="75">
        <f t="shared" si="21"/>
        <v>0</v>
      </c>
      <c r="W32" s="63"/>
      <c r="X32" s="63"/>
      <c r="Y32" s="63"/>
      <c r="Z32" s="63"/>
      <c r="AA32" s="63" t="str">
        <f t="shared" si="22"/>
        <v xml:space="preserve">   Net (Gain) / Loss on Sale of Assets</v>
      </c>
      <c r="AB32" s="75">
        <f t="shared" si="23"/>
        <v>-2853</v>
      </c>
      <c r="AC32" s="76">
        <f t="shared" si="9"/>
        <v>-553</v>
      </c>
      <c r="AD32" s="75">
        <f t="shared" si="24"/>
        <v>-2300</v>
      </c>
      <c r="AE32" s="63"/>
      <c r="AF32" s="75">
        <f t="shared" si="25"/>
        <v>-9900</v>
      </c>
      <c r="AG32" s="75">
        <f t="shared" si="25"/>
        <v>-9900</v>
      </c>
      <c r="AH32" s="75">
        <f t="shared" si="26"/>
        <v>0</v>
      </c>
      <c r="AI32" s="63"/>
      <c r="AJ32" s="75">
        <f t="shared" si="27"/>
        <v>9347</v>
      </c>
      <c r="AK32" s="75">
        <f t="shared" si="28"/>
        <v>7047</v>
      </c>
      <c r="AL32" s="63"/>
      <c r="AM32" s="76">
        <v>-10500</v>
      </c>
      <c r="AN32" s="75">
        <f t="shared" si="29"/>
        <v>7647</v>
      </c>
      <c r="AO32" s="63"/>
      <c r="AP32" s="76">
        <v>-600</v>
      </c>
      <c r="AQ32" s="75">
        <f t="shared" si="30"/>
        <v>47</v>
      </c>
      <c r="AR32" s="63"/>
      <c r="AS32" s="63"/>
      <c r="AT32" s="63"/>
      <c r="AU32" s="63"/>
    </row>
    <row r="33" spans="1:47">
      <c r="A33" s="100" t="s">
        <v>353</v>
      </c>
      <c r="B33" s="63"/>
      <c r="C33" s="63"/>
      <c r="D33" s="75">
        <f>-D343+D346</f>
        <v>-2772</v>
      </c>
      <c r="E33" s="75">
        <f t="shared" ref="E33:O33" si="31">-E343+E346</f>
        <v>3495</v>
      </c>
      <c r="F33" s="75">
        <f t="shared" si="31"/>
        <v>346</v>
      </c>
      <c r="G33" s="75">
        <f t="shared" si="31"/>
        <v>1502</v>
      </c>
      <c r="H33" s="75">
        <f t="shared" si="31"/>
        <v>4305</v>
      </c>
      <c r="I33" s="75">
        <f t="shared" si="31"/>
        <v>3265</v>
      </c>
      <c r="J33" s="75">
        <f t="shared" si="31"/>
        <v>3422</v>
      </c>
      <c r="K33" s="75">
        <f t="shared" si="31"/>
        <v>341</v>
      </c>
      <c r="L33" s="75">
        <f t="shared" si="31"/>
        <v>418</v>
      </c>
      <c r="M33" s="75">
        <f t="shared" si="31"/>
        <v>317</v>
      </c>
      <c r="N33" s="75">
        <f t="shared" si="31"/>
        <v>918</v>
      </c>
      <c r="O33" s="75">
        <f t="shared" si="31"/>
        <v>-9786</v>
      </c>
      <c r="P33" s="75">
        <f t="shared" si="19"/>
        <v>5771</v>
      </c>
      <c r="Q33" s="76">
        <f t="shared" si="5"/>
        <v>13563</v>
      </c>
      <c r="R33" s="75">
        <f t="shared" si="20"/>
        <v>-7792</v>
      </c>
      <c r="S33" s="63"/>
      <c r="T33" s="76">
        <v>3321</v>
      </c>
      <c r="U33" s="76">
        <v>3854</v>
      </c>
      <c r="V33" s="75">
        <f t="shared" si="21"/>
        <v>-533</v>
      </c>
      <c r="W33" s="63"/>
      <c r="X33" s="63"/>
      <c r="Y33" s="63"/>
      <c r="Z33" s="63"/>
      <c r="AA33" s="63" t="str">
        <f t="shared" si="22"/>
        <v xml:space="preserve">   Other Regulatory Assets / Liabilities</v>
      </c>
      <c r="AB33" s="75">
        <f t="shared" si="23"/>
        <v>5771</v>
      </c>
      <c r="AC33" s="76">
        <f t="shared" si="9"/>
        <v>14322</v>
      </c>
      <c r="AD33" s="75">
        <f t="shared" si="24"/>
        <v>-8551</v>
      </c>
      <c r="AE33" s="63"/>
      <c r="AF33" s="75">
        <f t="shared" si="25"/>
        <v>3321</v>
      </c>
      <c r="AG33" s="75">
        <f t="shared" si="25"/>
        <v>3854</v>
      </c>
      <c r="AH33" s="75">
        <f t="shared" si="26"/>
        <v>-533</v>
      </c>
      <c r="AI33" s="63"/>
      <c r="AJ33" s="75">
        <f t="shared" si="27"/>
        <v>10468</v>
      </c>
      <c r="AK33" s="75">
        <f t="shared" si="28"/>
        <v>2450</v>
      </c>
      <c r="AL33" s="63"/>
      <c r="AM33" s="76">
        <v>810</v>
      </c>
      <c r="AN33" s="75">
        <f t="shared" si="29"/>
        <v>4961</v>
      </c>
      <c r="AO33" s="63"/>
      <c r="AP33" s="76">
        <v>11376</v>
      </c>
      <c r="AQ33" s="75">
        <f t="shared" si="30"/>
        <v>2946</v>
      </c>
      <c r="AR33" s="63"/>
      <c r="AS33" s="63"/>
      <c r="AT33" s="63"/>
      <c r="AU33" s="63"/>
    </row>
    <row r="34" spans="1:47">
      <c r="A34" s="106" t="s">
        <v>354</v>
      </c>
      <c r="B34" s="63"/>
      <c r="C34" s="63"/>
      <c r="D34" s="99">
        <f>D258-D268-D271-D273+D284+D286-D305-D306-D307-SUM(D308:D318)+SUM(D333:D338)+D330+D352+D362+1-2+1+1-267</f>
        <v>1266</v>
      </c>
      <c r="E34" s="99">
        <f>E258-E268-E271-E273+E284+E286-E305-E306-E307-SUM(E308:E318)+SUM(E333:E338)+E330+E352+E362+1-1+1+3-2-2-1+259+1+(-2)</f>
        <v>-524</v>
      </c>
      <c r="F34" s="99">
        <f>F258-F268-F271-F273+F284+F286-F305-F306-F307-SUM(F308:F318)+SUM(F333:F338)+F330+F352+F362+(-4967-10)-1-65+3+2+1+8+(2)</f>
        <v>-3806</v>
      </c>
      <c r="G34" s="99">
        <f>G258-G268-G271-G273+G284+G286-G305-G306-G307-SUM(G308:G318)+SUM(G333:G338)+G330+G352+G362+4-1+1-4-2-11-1</f>
        <v>-412</v>
      </c>
      <c r="H34" s="99">
        <f>H258-H268-H271-H273+H284+H286-H305-H306-H307-SUM(H308:H318)+SUM(H333:H338)+H330+H352+H362-3+2-7+1-1+1+117</f>
        <v>101</v>
      </c>
      <c r="I34" s="99">
        <f>I258-I268-I271-I273+I284+I286-I305-I306-I307-SUM(I308:I318)+SUM(I333:I338)+I330+I352+I362-2+1-2+553-3353-1+(-2)</f>
        <v>-1192</v>
      </c>
      <c r="J34" s="99">
        <f>J258-J268-J271-J273+J284+J286-J305-J306-J307-SUM(J308:J318)+SUM(J333:J338)+J330+J352+J362-10</f>
        <v>-1202</v>
      </c>
      <c r="K34" s="184">
        <f>K258-K268-K271-K273+K284+K286-K305-K306-K307-SUM(K308:K318)+SUM(K333:K338)+K330+K352+K362</f>
        <v>-158</v>
      </c>
      <c r="L34" s="184">
        <f>L258-L268-L271-L273+L284+L286-L305-L306-L307-SUM(L308:L318)+SUM(L333:L338)+L330+L352+L362</f>
        <v>-219</v>
      </c>
      <c r="M34" s="184">
        <f>M258-M268-M271-M273+M284+M286-M305-M306-M307-SUM(M308:M318)+SUM(M333:M338)+M330+M352+M362</f>
        <v>-161</v>
      </c>
      <c r="N34" s="184">
        <f>N258-N268-N271-N273+N284+N286-N305-N306-N307-SUM(N308:N318)+SUM(N333:N338)+N330+N352+N362</f>
        <v>-86</v>
      </c>
      <c r="O34" s="181">
        <f>O258-O268-O271-O273+O284+O286-O305-O306-O307-SUM(O308:O318)+SUM(O333:O338)+O330+O352+O362+(2300-2300)</f>
        <v>-377</v>
      </c>
      <c r="P34" s="80">
        <f t="shared" si="19"/>
        <v>-6770</v>
      </c>
      <c r="Q34" s="99">
        <f t="shared" si="5"/>
        <v>-5769</v>
      </c>
      <c r="R34" s="80">
        <f t="shared" si="20"/>
        <v>-1001</v>
      </c>
      <c r="S34" s="63"/>
      <c r="T34" s="99">
        <v>-7962</v>
      </c>
      <c r="U34" s="99">
        <v>-5862</v>
      </c>
      <c r="V34" s="80">
        <f t="shared" si="21"/>
        <v>-2100</v>
      </c>
      <c r="W34" s="63"/>
      <c r="X34" s="75"/>
      <c r="Y34" s="75"/>
      <c r="Z34" s="63"/>
      <c r="AA34" s="63" t="str">
        <f t="shared" si="22"/>
        <v xml:space="preserve">   Other (Incl. All Capital Costs &amp; Current Reserve Activity) </v>
      </c>
      <c r="AB34" s="80">
        <f t="shared" si="23"/>
        <v>-6770</v>
      </c>
      <c r="AC34" s="99">
        <f t="shared" si="9"/>
        <v>-6146</v>
      </c>
      <c r="AD34" s="80">
        <f t="shared" si="24"/>
        <v>-624</v>
      </c>
      <c r="AE34" s="63"/>
      <c r="AF34" s="80">
        <f t="shared" si="25"/>
        <v>-7962</v>
      </c>
      <c r="AG34" s="80">
        <f t="shared" si="25"/>
        <v>-5862</v>
      </c>
      <c r="AH34" s="80">
        <f t="shared" si="26"/>
        <v>-2100</v>
      </c>
      <c r="AI34" s="63"/>
      <c r="AJ34" s="80">
        <f t="shared" si="27"/>
        <v>-284</v>
      </c>
      <c r="AK34" s="80">
        <f t="shared" si="28"/>
        <v>1192</v>
      </c>
      <c r="AL34" s="63"/>
      <c r="AM34" s="99">
        <v>-7421</v>
      </c>
      <c r="AN34" s="80">
        <f t="shared" si="29"/>
        <v>651</v>
      </c>
      <c r="AO34" s="63"/>
      <c r="AP34" s="99">
        <v>-7213</v>
      </c>
      <c r="AQ34" s="80">
        <f t="shared" si="30"/>
        <v>1067</v>
      </c>
      <c r="AR34" s="63"/>
      <c r="AS34" s="63"/>
      <c r="AT34" s="63"/>
      <c r="AU34" s="63"/>
    </row>
    <row r="35" spans="1:47" ht="3.95" customHeight="1">
      <c r="A35" s="94"/>
      <c r="B35" s="63"/>
      <c r="C35" s="63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63"/>
      <c r="T35" s="75"/>
      <c r="U35" s="75"/>
      <c r="V35" s="75"/>
      <c r="W35" s="63"/>
      <c r="X35" s="75"/>
      <c r="Y35" s="75"/>
      <c r="Z35" s="63"/>
      <c r="AA35" s="63"/>
      <c r="AB35" s="75"/>
      <c r="AC35" s="75"/>
      <c r="AD35" s="75"/>
      <c r="AE35" s="63"/>
      <c r="AF35" s="75"/>
      <c r="AG35" s="75"/>
      <c r="AH35" s="75"/>
      <c r="AI35" s="63"/>
      <c r="AJ35" s="75"/>
      <c r="AK35" s="75"/>
      <c r="AL35" s="63"/>
      <c r="AM35" s="75"/>
      <c r="AN35" s="75"/>
      <c r="AO35" s="63"/>
      <c r="AP35" s="75"/>
      <c r="AQ35" s="75"/>
      <c r="AR35" s="63"/>
      <c r="AS35" s="63"/>
      <c r="AT35" s="63"/>
      <c r="AU35" s="63"/>
    </row>
    <row r="36" spans="1:47">
      <c r="A36" s="104" t="s">
        <v>355</v>
      </c>
      <c r="B36" s="63"/>
      <c r="C36" s="63"/>
      <c r="D36" s="80">
        <f>SUM(D9:D35)</f>
        <v>77455</v>
      </c>
      <c r="E36" s="80">
        <f t="shared" ref="E36:P36" si="32">SUM(E9:E35)</f>
        <v>-18821</v>
      </c>
      <c r="F36" s="80">
        <f t="shared" si="32"/>
        <v>10798</v>
      </c>
      <c r="G36" s="80">
        <f t="shared" si="32"/>
        <v>42462</v>
      </c>
      <c r="H36" s="80">
        <f t="shared" si="32"/>
        <v>10769</v>
      </c>
      <c r="I36" s="80">
        <f t="shared" si="32"/>
        <v>-8028</v>
      </c>
      <c r="J36" s="80">
        <f t="shared" si="32"/>
        <v>14242</v>
      </c>
      <c r="K36" s="80">
        <f t="shared" si="32"/>
        <v>19945</v>
      </c>
      <c r="L36" s="80">
        <f t="shared" si="32"/>
        <v>6000</v>
      </c>
      <c r="M36" s="80">
        <f t="shared" si="32"/>
        <v>-7639</v>
      </c>
      <c r="N36" s="80">
        <f t="shared" si="32"/>
        <v>-13041</v>
      </c>
      <c r="O36" s="80">
        <f t="shared" si="32"/>
        <v>-12030</v>
      </c>
      <c r="P36" s="80">
        <f t="shared" si="32"/>
        <v>122112</v>
      </c>
      <c r="Q36" s="80">
        <f>SUM(Q9:Q35)</f>
        <v>128877</v>
      </c>
      <c r="R36" s="80">
        <f>SUM(R9:R35)</f>
        <v>-6765</v>
      </c>
      <c r="S36" s="63"/>
      <c r="T36" s="80">
        <f>SUM(T9:T35)</f>
        <v>121900</v>
      </c>
      <c r="U36" s="80">
        <f>SUM(U9:U35)</f>
        <v>117000</v>
      </c>
      <c r="V36" s="80">
        <f>SUM(V9:V35)</f>
        <v>4900</v>
      </c>
      <c r="W36" s="63"/>
      <c r="X36" s="75"/>
      <c r="Y36" s="75"/>
      <c r="Z36" s="63"/>
      <c r="AA36" s="60" t="str">
        <f>A36</f>
        <v xml:space="preserve">      Cash Provided by Operating Activities</v>
      </c>
      <c r="AB36" s="80">
        <f>SUM(AB9:AB35)</f>
        <v>122112</v>
      </c>
      <c r="AC36" s="80">
        <f>SUM(AC9:AC35)</f>
        <v>154822</v>
      </c>
      <c r="AD36" s="80">
        <f>SUM(AD9:AD35)</f>
        <v>-32710</v>
      </c>
      <c r="AE36" s="63"/>
      <c r="AF36" s="80">
        <f>SUM(AF9:AF35)</f>
        <v>121900</v>
      </c>
      <c r="AG36" s="80">
        <f>SUM(AG9:AG35)</f>
        <v>117000</v>
      </c>
      <c r="AH36" s="80">
        <f>SUM(AH9:AH35)</f>
        <v>4900</v>
      </c>
      <c r="AI36" s="63"/>
      <c r="AJ36" s="80">
        <f>SUM(AJ9:AJ35)</f>
        <v>37822</v>
      </c>
      <c r="AK36" s="80">
        <f>SUM(AK9:AK35)</f>
        <v>212</v>
      </c>
      <c r="AL36" s="63"/>
      <c r="AM36" s="80">
        <f>SUM(AM9:AM35)</f>
        <v>117924</v>
      </c>
      <c r="AN36" s="80">
        <f>SUM(AN9:AN35)</f>
        <v>4188</v>
      </c>
      <c r="AO36" s="63"/>
      <c r="AP36" s="80">
        <f>SUM(AP9:AP35)</f>
        <v>149315</v>
      </c>
      <c r="AQ36" s="80">
        <f>SUM(AQ9:AQ35)</f>
        <v>5507</v>
      </c>
      <c r="AR36" s="63"/>
      <c r="AS36" s="63"/>
      <c r="AT36" s="63"/>
      <c r="AU36" s="63"/>
    </row>
    <row r="37" spans="1:47" ht="6" customHeight="1">
      <c r="A37" s="94"/>
      <c r="B37" s="63"/>
      <c r="C37" s="63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63"/>
      <c r="T37" s="75"/>
      <c r="U37" s="75"/>
      <c r="V37" s="75"/>
      <c r="W37" s="63"/>
      <c r="X37" s="75"/>
      <c r="Y37" s="75"/>
      <c r="Z37" s="63"/>
      <c r="AA37" s="63"/>
      <c r="AB37" s="75"/>
      <c r="AC37" s="75"/>
      <c r="AD37" s="75"/>
      <c r="AE37" s="63"/>
      <c r="AF37" s="75"/>
      <c r="AG37" s="75"/>
      <c r="AH37" s="75"/>
      <c r="AI37" s="63"/>
      <c r="AJ37" s="75"/>
      <c r="AK37" s="75"/>
      <c r="AL37" s="63"/>
      <c r="AM37" s="75"/>
      <c r="AN37" s="75"/>
      <c r="AO37" s="63"/>
      <c r="AP37" s="75"/>
      <c r="AQ37" s="75"/>
      <c r="AR37" s="63"/>
      <c r="AS37" s="63"/>
      <c r="AT37" s="63"/>
      <c r="AU37" s="63"/>
    </row>
    <row r="38" spans="1:47">
      <c r="A38" s="104" t="s">
        <v>356</v>
      </c>
      <c r="B38" s="63"/>
      <c r="C38" s="63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63"/>
      <c r="Q38" s="63"/>
      <c r="R38" s="63"/>
      <c r="S38" s="63"/>
      <c r="T38" s="75"/>
      <c r="U38" s="75"/>
      <c r="V38" s="63"/>
      <c r="W38" s="63"/>
      <c r="X38" s="63"/>
      <c r="Y38" s="63"/>
      <c r="Z38" s="63"/>
      <c r="AA38" s="60" t="str">
        <f t="shared" ref="AA38:AA43" si="33">A38</f>
        <v>CASH FLOW FROM INVESTING ACTIVITIES</v>
      </c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76"/>
      <c r="AN38" s="63"/>
      <c r="AO38" s="63"/>
      <c r="AP38" s="76"/>
      <c r="AQ38" s="63"/>
      <c r="AR38" s="63"/>
      <c r="AS38" s="63"/>
      <c r="AT38" s="63"/>
      <c r="AU38" s="63"/>
    </row>
    <row r="39" spans="1:47">
      <c r="A39" s="106" t="s">
        <v>357</v>
      </c>
      <c r="B39" s="63"/>
      <c r="C39" s="63"/>
      <c r="D39" s="138">
        <f>-D269-D270+D285+D359+D360</f>
        <v>0</v>
      </c>
      <c r="E39" s="138">
        <f>-E269-E270+E285+E359+E360</f>
        <v>0</v>
      </c>
      <c r="F39" s="138">
        <f>-F269-F270+F285+F359+F360</f>
        <v>0</v>
      </c>
      <c r="G39" s="138">
        <f>-G269-G270+G285+G359+G360</f>
        <v>0</v>
      </c>
      <c r="H39" s="138">
        <f t="shared" ref="H39:N39" si="34">-H269-H270+H285+H359+H360</f>
        <v>0</v>
      </c>
      <c r="I39" s="176">
        <f>-I269-I270+I285+I359+I360+3353</f>
        <v>3353</v>
      </c>
      <c r="J39" s="138">
        <f t="shared" si="34"/>
        <v>0</v>
      </c>
      <c r="K39" s="138">
        <f t="shared" si="34"/>
        <v>0</v>
      </c>
      <c r="L39" s="176">
        <f t="shared" si="34"/>
        <v>0</v>
      </c>
      <c r="M39" s="75">
        <f t="shared" si="34"/>
        <v>0</v>
      </c>
      <c r="N39" s="75">
        <f t="shared" si="34"/>
        <v>0</v>
      </c>
      <c r="O39" s="176">
        <f>-O269-O270+O285+O359+O360+(7000-200-1000)+2300-5800</f>
        <v>2300</v>
      </c>
      <c r="P39" s="75">
        <f>SUM(D39:O39)</f>
        <v>5653</v>
      </c>
      <c r="Q39" s="76">
        <f>SUM(D39:J39)</f>
        <v>3353</v>
      </c>
      <c r="R39" s="75">
        <f>P39-Q39</f>
        <v>2300</v>
      </c>
      <c r="S39" s="63"/>
      <c r="T39" s="76">
        <v>7500</v>
      </c>
      <c r="U39" s="76">
        <v>7500</v>
      </c>
      <c r="V39" s="75">
        <f>T39-U39</f>
        <v>0</v>
      </c>
      <c r="W39" s="63"/>
      <c r="X39" s="63"/>
      <c r="Y39" s="63"/>
      <c r="Z39" s="63"/>
      <c r="AA39" s="63" t="str">
        <f t="shared" si="33"/>
        <v xml:space="preserve">   Proceeds from Sale (Various)</v>
      </c>
      <c r="AB39" s="75">
        <f>P39</f>
        <v>5653</v>
      </c>
      <c r="AC39" s="76">
        <f>SUM(D39:L39)</f>
        <v>3353</v>
      </c>
      <c r="AD39" s="75">
        <f>AB39-AC39</f>
        <v>2300</v>
      </c>
      <c r="AE39" s="63"/>
      <c r="AF39" s="75">
        <f t="shared" ref="AF39:AG43" si="35">T39</f>
        <v>7500</v>
      </c>
      <c r="AG39" s="75">
        <f t="shared" si="35"/>
        <v>7500</v>
      </c>
      <c r="AH39" s="75">
        <f>AF39-AG39</f>
        <v>0</v>
      </c>
      <c r="AI39" s="63"/>
      <c r="AJ39" s="75">
        <f>AC39-AG39</f>
        <v>-4147</v>
      </c>
      <c r="AK39" s="75">
        <f>AB39-AF39</f>
        <v>-1847</v>
      </c>
      <c r="AL39" s="63"/>
      <c r="AM39" s="76">
        <v>11500</v>
      </c>
      <c r="AN39" s="75">
        <f>AB39-AM39</f>
        <v>-5847</v>
      </c>
      <c r="AO39" s="63"/>
      <c r="AP39" s="76">
        <v>3400</v>
      </c>
      <c r="AQ39" s="75">
        <f>AC39-AP39</f>
        <v>-47</v>
      </c>
      <c r="AR39" s="63"/>
      <c r="AS39" s="63"/>
      <c r="AT39" s="63"/>
      <c r="AU39" s="63"/>
    </row>
    <row r="40" spans="1:47">
      <c r="A40" s="106" t="s">
        <v>358</v>
      </c>
      <c r="B40" s="63"/>
      <c r="C40" s="63"/>
      <c r="D40" s="75">
        <f t="shared" ref="D40:I40" si="36">-D264-D266-D267+D283</f>
        <v>-280</v>
      </c>
      <c r="E40" s="75">
        <f t="shared" si="36"/>
        <v>861</v>
      </c>
      <c r="F40" s="75">
        <f t="shared" si="36"/>
        <v>-3798</v>
      </c>
      <c r="G40" s="75">
        <f t="shared" si="36"/>
        <v>-4249</v>
      </c>
      <c r="H40" s="189">
        <f>-H264-H266-H267+H283+1</f>
        <v>-3725</v>
      </c>
      <c r="I40" s="75">
        <f t="shared" si="36"/>
        <v>-932</v>
      </c>
      <c r="J40" s="75">
        <f t="shared" ref="J40:O40" si="37">-J264-J266-J267+J283</f>
        <v>-5769</v>
      </c>
      <c r="K40" s="75">
        <f>-K264-K266-K267+K283</f>
        <v>-10518</v>
      </c>
      <c r="L40" s="75">
        <f t="shared" si="37"/>
        <v>-11400</v>
      </c>
      <c r="M40" s="75">
        <f t="shared" si="37"/>
        <v>-12961</v>
      </c>
      <c r="N40" s="75">
        <f t="shared" si="37"/>
        <v>-12959</v>
      </c>
      <c r="O40" s="75">
        <f t="shared" si="37"/>
        <v>-8570</v>
      </c>
      <c r="P40" s="75">
        <f>SUM(D40:O40)</f>
        <v>-74300</v>
      </c>
      <c r="Q40" s="76">
        <f>SUM(D40:J40)</f>
        <v>-17892</v>
      </c>
      <c r="R40" s="75">
        <f>P40-Q40</f>
        <v>-56408</v>
      </c>
      <c r="S40" s="63"/>
      <c r="T40" s="188">
        <v>-83700</v>
      </c>
      <c r="U40" s="188">
        <v>-67600</v>
      </c>
      <c r="V40" s="75">
        <f>T40-U40</f>
        <v>-16100</v>
      </c>
      <c r="W40" s="63"/>
      <c r="X40" s="75"/>
      <c r="Y40" s="75"/>
      <c r="Z40" s="63"/>
      <c r="AA40" s="63" t="str">
        <f t="shared" si="33"/>
        <v xml:space="preserve">   Additions to Property </v>
      </c>
      <c r="AB40" s="75">
        <f>P40</f>
        <v>-74300</v>
      </c>
      <c r="AC40" s="76">
        <f>SUM(D40:L40)</f>
        <v>-39810</v>
      </c>
      <c r="AD40" s="75">
        <f>AB40-AC40</f>
        <v>-34490</v>
      </c>
      <c r="AE40" s="63"/>
      <c r="AF40" s="75">
        <f t="shared" si="35"/>
        <v>-83700</v>
      </c>
      <c r="AG40" s="75">
        <f t="shared" si="35"/>
        <v>-67600</v>
      </c>
      <c r="AH40" s="75">
        <f>AF40-AG40</f>
        <v>-16100</v>
      </c>
      <c r="AI40" s="63"/>
      <c r="AJ40" s="75">
        <f>AC40-AG40</f>
        <v>27790</v>
      </c>
      <c r="AK40" s="75">
        <f>AB40-AF40</f>
        <v>9400</v>
      </c>
      <c r="AL40" s="63"/>
      <c r="AM40" s="76">
        <v>-83700</v>
      </c>
      <c r="AN40" s="75">
        <f>AB40-AM40</f>
        <v>9400</v>
      </c>
      <c r="AO40" s="63"/>
      <c r="AP40" s="76">
        <v>-46941</v>
      </c>
      <c r="AQ40" s="75">
        <f>AC40-AP40</f>
        <v>7131</v>
      </c>
      <c r="AR40" s="63"/>
      <c r="AS40" s="63"/>
      <c r="AT40" s="63"/>
      <c r="AU40" s="63"/>
    </row>
    <row r="41" spans="1:47">
      <c r="A41" s="100" t="s">
        <v>359</v>
      </c>
      <c r="B41" s="63"/>
      <c r="C41" s="63"/>
      <c r="D41" s="75">
        <f>-D265-D272</f>
        <v>-45815</v>
      </c>
      <c r="E41" s="189">
        <f>-E265-E272-1</f>
        <v>-11147</v>
      </c>
      <c r="F41" s="75">
        <f t="shared" ref="F41:O41" si="38">-F265-F272</f>
        <v>1541</v>
      </c>
      <c r="G41" s="75">
        <f t="shared" si="38"/>
        <v>9352</v>
      </c>
      <c r="H41" s="189">
        <f>-H265-H272-1</f>
        <v>4793</v>
      </c>
      <c r="I41" s="75">
        <f t="shared" si="38"/>
        <v>4071</v>
      </c>
      <c r="J41" s="75">
        <f t="shared" si="38"/>
        <v>3220</v>
      </c>
      <c r="K41" s="75">
        <f t="shared" si="38"/>
        <v>2022</v>
      </c>
      <c r="L41" s="75">
        <f t="shared" si="38"/>
        <v>0</v>
      </c>
      <c r="M41" s="75">
        <f t="shared" si="38"/>
        <v>4000</v>
      </c>
      <c r="N41" s="75">
        <f t="shared" si="38"/>
        <v>4000</v>
      </c>
      <c r="O41" s="75">
        <f t="shared" si="38"/>
        <v>4000</v>
      </c>
      <c r="P41" s="75">
        <f>SUM(D41:O41)</f>
        <v>-19963</v>
      </c>
      <c r="Q41" s="76">
        <f>SUM(D41:J41)</f>
        <v>-33985</v>
      </c>
      <c r="R41" s="75">
        <f>P41-Q41</f>
        <v>14022</v>
      </c>
      <c r="S41" s="63"/>
      <c r="T41" s="76">
        <v>-7000</v>
      </c>
      <c r="U41" s="76">
        <v>-10000</v>
      </c>
      <c r="V41" s="75">
        <f>T41-U41</f>
        <v>3000</v>
      </c>
      <c r="W41" s="63"/>
      <c r="X41" s="75"/>
      <c r="Y41" s="75"/>
      <c r="Z41" s="63"/>
      <c r="AA41" s="63" t="str">
        <f t="shared" si="33"/>
        <v xml:space="preserve">   Other Capital Expenditures</v>
      </c>
      <c r="AB41" s="75">
        <f>P41</f>
        <v>-19963</v>
      </c>
      <c r="AC41" s="76">
        <f>SUM(D41:L41)</f>
        <v>-31963</v>
      </c>
      <c r="AD41" s="75">
        <f>AB41-AC41</f>
        <v>12000</v>
      </c>
      <c r="AE41" s="63"/>
      <c r="AF41" s="75">
        <f t="shared" si="35"/>
        <v>-7000</v>
      </c>
      <c r="AG41" s="75">
        <f t="shared" si="35"/>
        <v>-10000</v>
      </c>
      <c r="AH41" s="75">
        <f>AF41-AG41</f>
        <v>3000</v>
      </c>
      <c r="AI41" s="63"/>
      <c r="AJ41" s="75">
        <f>AC41-AG41</f>
        <v>-21963</v>
      </c>
      <c r="AK41" s="75">
        <f>AB41-AF41</f>
        <v>-12963</v>
      </c>
      <c r="AL41" s="63"/>
      <c r="AM41" s="76">
        <v>-25205</v>
      </c>
      <c r="AN41" s="75">
        <f>AB41-AM41</f>
        <v>5242</v>
      </c>
      <c r="AO41" s="63"/>
      <c r="AP41" s="76">
        <v>-37205</v>
      </c>
      <c r="AQ41" s="75">
        <f>AC41-AP41</f>
        <v>5242</v>
      </c>
      <c r="AR41" s="63"/>
      <c r="AS41" s="63"/>
      <c r="AT41" s="63"/>
      <c r="AU41" s="63"/>
    </row>
    <row r="42" spans="1:47">
      <c r="A42" s="106" t="s">
        <v>573</v>
      </c>
      <c r="B42" s="63"/>
      <c r="C42" s="63"/>
      <c r="D42" s="143">
        <f t="shared" ref="D42:O42" si="39">-D261</f>
        <v>0</v>
      </c>
      <c r="E42" s="143">
        <f t="shared" si="39"/>
        <v>0</v>
      </c>
      <c r="F42" s="143">
        <f t="shared" si="39"/>
        <v>0</v>
      </c>
      <c r="G42" s="143">
        <f t="shared" si="39"/>
        <v>0</v>
      </c>
      <c r="H42" s="143">
        <f t="shared" si="39"/>
        <v>0</v>
      </c>
      <c r="I42" s="143">
        <f t="shared" si="39"/>
        <v>0</v>
      </c>
      <c r="J42" s="143">
        <f t="shared" si="39"/>
        <v>0</v>
      </c>
      <c r="K42" s="143">
        <f t="shared" si="39"/>
        <v>0</v>
      </c>
      <c r="L42" s="143">
        <f t="shared" si="39"/>
        <v>0</v>
      </c>
      <c r="M42" s="143">
        <f t="shared" si="39"/>
        <v>0</v>
      </c>
      <c r="N42" s="143">
        <f t="shared" si="39"/>
        <v>0</v>
      </c>
      <c r="O42" s="143">
        <f t="shared" si="39"/>
        <v>0</v>
      </c>
      <c r="P42" s="75">
        <f>SUM(D42:O42)</f>
        <v>0</v>
      </c>
      <c r="Q42" s="76">
        <f>SUM(D42:J42)</f>
        <v>0</v>
      </c>
      <c r="R42" s="75">
        <f>P42-Q42</f>
        <v>0</v>
      </c>
      <c r="S42" s="63"/>
      <c r="T42" s="76">
        <v>0</v>
      </c>
      <c r="U42" s="76">
        <v>0</v>
      </c>
      <c r="V42" s="75">
        <f>T42-U42</f>
        <v>0</v>
      </c>
      <c r="W42" s="63"/>
      <c r="X42" s="63"/>
      <c r="Y42" s="63"/>
      <c r="Z42" s="63"/>
      <c r="AA42" s="63" t="str">
        <f t="shared" si="33"/>
        <v xml:space="preserve">   Other Investments (McDay Energy / Misc.)</v>
      </c>
      <c r="AB42" s="75">
        <f>P42</f>
        <v>0</v>
      </c>
      <c r="AC42" s="76">
        <f>SUM(D42:L42)</f>
        <v>0</v>
      </c>
      <c r="AD42" s="75">
        <f>AB42-AC42</f>
        <v>0</v>
      </c>
      <c r="AE42" s="63"/>
      <c r="AF42" s="75">
        <f t="shared" si="35"/>
        <v>0</v>
      </c>
      <c r="AG42" s="75">
        <f t="shared" si="35"/>
        <v>0</v>
      </c>
      <c r="AH42" s="75">
        <f>AF42-AG42</f>
        <v>0</v>
      </c>
      <c r="AI42" s="63"/>
      <c r="AJ42" s="75">
        <f>AC42-AG42</f>
        <v>0</v>
      </c>
      <c r="AK42" s="75">
        <f>AB42-AF42</f>
        <v>0</v>
      </c>
      <c r="AL42" s="63"/>
      <c r="AM42" s="76">
        <v>0</v>
      </c>
      <c r="AN42" s="75">
        <f>AB42-AM42</f>
        <v>0</v>
      </c>
      <c r="AO42" s="63"/>
      <c r="AP42" s="76">
        <v>0</v>
      </c>
      <c r="AQ42" s="75">
        <f>AC42-AP42</f>
        <v>0</v>
      </c>
      <c r="AR42" s="63"/>
      <c r="AS42" s="63"/>
      <c r="AT42" s="63"/>
      <c r="AU42" s="63"/>
    </row>
    <row r="43" spans="1:47">
      <c r="A43" s="106" t="s">
        <v>360</v>
      </c>
      <c r="B43" s="63"/>
      <c r="C43" s="63"/>
      <c r="D43" s="144">
        <f t="shared" ref="D43:O43" si="40">D281+D282</f>
        <v>4</v>
      </c>
      <c r="E43" s="144">
        <f t="shared" si="40"/>
        <v>11</v>
      </c>
      <c r="F43" s="144">
        <f t="shared" si="40"/>
        <v>-247</v>
      </c>
      <c r="G43" s="144">
        <f t="shared" si="40"/>
        <v>-108</v>
      </c>
      <c r="H43" s="144">
        <f>H281+H282-117</f>
        <v>1508</v>
      </c>
      <c r="I43" s="99">
        <f>I281+I282+1</f>
        <v>-2197</v>
      </c>
      <c r="J43" s="144">
        <f t="shared" si="40"/>
        <v>8</v>
      </c>
      <c r="K43" s="144">
        <f t="shared" si="40"/>
        <v>0</v>
      </c>
      <c r="L43" s="144">
        <f t="shared" si="40"/>
        <v>0</v>
      </c>
      <c r="M43" s="144">
        <f t="shared" si="40"/>
        <v>0</v>
      </c>
      <c r="N43" s="144">
        <f t="shared" si="40"/>
        <v>0</v>
      </c>
      <c r="O43" s="144">
        <f t="shared" si="40"/>
        <v>0</v>
      </c>
      <c r="P43" s="80">
        <f>SUM(D43:O43)</f>
        <v>-1021</v>
      </c>
      <c r="Q43" s="99">
        <f>SUM(D43:J43)</f>
        <v>-1021</v>
      </c>
      <c r="R43" s="80">
        <f>P43-Q43</f>
        <v>0</v>
      </c>
      <c r="S43" s="63"/>
      <c r="T43" s="99">
        <v>0</v>
      </c>
      <c r="U43" s="99">
        <v>0</v>
      </c>
      <c r="V43" s="80">
        <f>T43-U43</f>
        <v>0</v>
      </c>
      <c r="W43" s="63"/>
      <c r="X43" s="63"/>
      <c r="Y43" s="63"/>
      <c r="Z43" s="63"/>
      <c r="AA43" s="63" t="str">
        <f t="shared" si="33"/>
        <v xml:space="preserve">   Other (Net Salvage &amp; Removal)</v>
      </c>
      <c r="AB43" s="80">
        <f>P43</f>
        <v>-1021</v>
      </c>
      <c r="AC43" s="99">
        <f>SUM(D43:L43)</f>
        <v>-1021</v>
      </c>
      <c r="AD43" s="80">
        <f>AB43-AC43</f>
        <v>0</v>
      </c>
      <c r="AE43" s="63"/>
      <c r="AF43" s="80">
        <f t="shared" si="35"/>
        <v>0</v>
      </c>
      <c r="AG43" s="80">
        <f t="shared" si="35"/>
        <v>0</v>
      </c>
      <c r="AH43" s="80">
        <f>AF43-AG43</f>
        <v>0</v>
      </c>
      <c r="AI43" s="63"/>
      <c r="AJ43" s="80">
        <f>AC43-AG43</f>
        <v>-1021</v>
      </c>
      <c r="AK43" s="80">
        <f>AB43-AF43</f>
        <v>-1021</v>
      </c>
      <c r="AL43" s="63"/>
      <c r="AM43" s="99">
        <v>-1030</v>
      </c>
      <c r="AN43" s="80">
        <f>AB43-AM43</f>
        <v>9</v>
      </c>
      <c r="AO43" s="63"/>
      <c r="AP43" s="99">
        <v>-1030</v>
      </c>
      <c r="AQ43" s="80">
        <f>AC43-AP43</f>
        <v>9</v>
      </c>
      <c r="AR43" s="63"/>
      <c r="AS43" s="63"/>
      <c r="AT43" s="63"/>
      <c r="AU43" s="63"/>
    </row>
    <row r="44" spans="1:47" ht="3.95" customHeight="1">
      <c r="A44" s="94"/>
      <c r="B44" s="63"/>
      <c r="C44" s="63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63"/>
      <c r="T44" s="75"/>
      <c r="U44" s="75"/>
      <c r="V44" s="75"/>
      <c r="W44" s="63"/>
      <c r="X44" s="75"/>
      <c r="Y44" s="75"/>
      <c r="Z44" s="63"/>
      <c r="AA44" s="63"/>
      <c r="AB44" s="75"/>
      <c r="AC44" s="75"/>
      <c r="AD44" s="75"/>
      <c r="AE44" s="63"/>
      <c r="AF44" s="75"/>
      <c r="AG44" s="75"/>
      <c r="AH44" s="75"/>
      <c r="AI44" s="63"/>
      <c r="AJ44" s="75"/>
      <c r="AK44" s="75"/>
      <c r="AL44" s="63"/>
      <c r="AM44" s="75"/>
      <c r="AN44" s="75"/>
      <c r="AO44" s="63"/>
      <c r="AP44" s="75"/>
      <c r="AQ44" s="75"/>
      <c r="AR44" s="63"/>
      <c r="AS44" s="63"/>
      <c r="AT44" s="63"/>
      <c r="AU44" s="63"/>
    </row>
    <row r="45" spans="1:47">
      <c r="A45" s="104" t="s">
        <v>361</v>
      </c>
      <c r="B45" s="63"/>
      <c r="C45" s="63"/>
      <c r="D45" s="80">
        <f t="shared" ref="D45:R45" si="41">SUM(D39:D44)</f>
        <v>-46091</v>
      </c>
      <c r="E45" s="80">
        <f t="shared" si="41"/>
        <v>-10275</v>
      </c>
      <c r="F45" s="80">
        <f t="shared" si="41"/>
        <v>-2504</v>
      </c>
      <c r="G45" s="80">
        <f t="shared" si="41"/>
        <v>4995</v>
      </c>
      <c r="H45" s="80">
        <f t="shared" si="41"/>
        <v>2576</v>
      </c>
      <c r="I45" s="80">
        <f t="shared" si="41"/>
        <v>4295</v>
      </c>
      <c r="J45" s="80">
        <f t="shared" si="41"/>
        <v>-2541</v>
      </c>
      <c r="K45" s="80">
        <f t="shared" si="41"/>
        <v>-8496</v>
      </c>
      <c r="L45" s="80">
        <f t="shared" si="41"/>
        <v>-11400</v>
      </c>
      <c r="M45" s="80">
        <f t="shared" si="41"/>
        <v>-8961</v>
      </c>
      <c r="N45" s="80">
        <f t="shared" si="41"/>
        <v>-8959</v>
      </c>
      <c r="O45" s="80">
        <f t="shared" si="41"/>
        <v>-2270</v>
      </c>
      <c r="P45" s="80">
        <f t="shared" si="41"/>
        <v>-89631</v>
      </c>
      <c r="Q45" s="80">
        <f t="shared" si="41"/>
        <v>-49545</v>
      </c>
      <c r="R45" s="80">
        <f t="shared" si="41"/>
        <v>-40086</v>
      </c>
      <c r="S45" s="63"/>
      <c r="T45" s="80">
        <f>SUM(T39:T44)</f>
        <v>-83200</v>
      </c>
      <c r="U45" s="80">
        <f>SUM(U39:U44)</f>
        <v>-70100</v>
      </c>
      <c r="V45" s="80">
        <f>SUM(V39:V44)</f>
        <v>-13100</v>
      </c>
      <c r="W45" s="63"/>
      <c r="X45" s="75"/>
      <c r="Y45" s="75"/>
      <c r="Z45" s="63"/>
      <c r="AA45" s="60" t="str">
        <f>A45</f>
        <v xml:space="preserve">      Cash Provided by (Used in) Investing Activities</v>
      </c>
      <c r="AB45" s="80">
        <f>SUM(AB39:AB44)</f>
        <v>-89631</v>
      </c>
      <c r="AC45" s="80">
        <f>SUM(AC39:AC44)</f>
        <v>-69441</v>
      </c>
      <c r="AD45" s="80">
        <f>SUM(AD39:AD44)</f>
        <v>-20190</v>
      </c>
      <c r="AE45" s="63"/>
      <c r="AF45" s="80">
        <f>SUM(AF39:AF44)</f>
        <v>-83200</v>
      </c>
      <c r="AG45" s="80">
        <f>SUM(AG39:AG44)</f>
        <v>-70100</v>
      </c>
      <c r="AH45" s="80">
        <f>SUM(AH39:AH44)</f>
        <v>-13100</v>
      </c>
      <c r="AI45" s="63"/>
      <c r="AJ45" s="80">
        <f>SUM(AJ39:AJ44)</f>
        <v>659</v>
      </c>
      <c r="AK45" s="80">
        <f>SUM(AK39:AK44)</f>
        <v>-6431</v>
      </c>
      <c r="AL45" s="63"/>
      <c r="AM45" s="80">
        <f>SUM(AM39:AM44)</f>
        <v>-98435</v>
      </c>
      <c r="AN45" s="80">
        <f>SUM(AN39:AN44)</f>
        <v>8804</v>
      </c>
      <c r="AO45" s="63"/>
      <c r="AP45" s="80">
        <f>SUM(AP39:AP44)</f>
        <v>-81776</v>
      </c>
      <c r="AQ45" s="80">
        <f>SUM(AQ39:AQ44)</f>
        <v>12335</v>
      </c>
      <c r="AR45" s="63"/>
      <c r="AS45" s="63"/>
      <c r="AT45" s="63"/>
      <c r="AU45" s="63"/>
    </row>
    <row r="46" spans="1:47" ht="6" customHeight="1">
      <c r="A46" s="9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76"/>
      <c r="AN46" s="76"/>
      <c r="AO46" s="63"/>
      <c r="AP46" s="76"/>
      <c r="AQ46" s="76"/>
      <c r="AR46" s="63"/>
      <c r="AS46" s="63"/>
      <c r="AT46" s="63"/>
      <c r="AU46" s="63"/>
    </row>
    <row r="47" spans="1:47">
      <c r="A47" s="104" t="s">
        <v>362</v>
      </c>
      <c r="B47" s="63"/>
      <c r="C47" s="63"/>
      <c r="D47" s="80">
        <f t="shared" ref="D47:R47" si="42">D36+D45</f>
        <v>31364</v>
      </c>
      <c r="E47" s="80">
        <f t="shared" si="42"/>
        <v>-29096</v>
      </c>
      <c r="F47" s="80">
        <f t="shared" si="42"/>
        <v>8294</v>
      </c>
      <c r="G47" s="80">
        <f t="shared" si="42"/>
        <v>47457</v>
      </c>
      <c r="H47" s="80">
        <f t="shared" si="42"/>
        <v>13345</v>
      </c>
      <c r="I47" s="80">
        <f t="shared" si="42"/>
        <v>-3733</v>
      </c>
      <c r="J47" s="80">
        <f t="shared" si="42"/>
        <v>11701</v>
      </c>
      <c r="K47" s="80">
        <f t="shared" si="42"/>
        <v>11449</v>
      </c>
      <c r="L47" s="80">
        <f t="shared" si="42"/>
        <v>-5400</v>
      </c>
      <c r="M47" s="80">
        <f t="shared" si="42"/>
        <v>-16600</v>
      </c>
      <c r="N47" s="80">
        <f t="shared" si="42"/>
        <v>-22000</v>
      </c>
      <c r="O47" s="80">
        <f t="shared" si="42"/>
        <v>-14300</v>
      </c>
      <c r="P47" s="80">
        <f t="shared" si="42"/>
        <v>32481</v>
      </c>
      <c r="Q47" s="80">
        <f t="shared" si="42"/>
        <v>79332</v>
      </c>
      <c r="R47" s="80">
        <f t="shared" si="42"/>
        <v>-46851</v>
      </c>
      <c r="S47" s="63"/>
      <c r="T47" s="80">
        <f>T36+T45</f>
        <v>38700</v>
      </c>
      <c r="U47" s="80">
        <f>U36+U45</f>
        <v>46900</v>
      </c>
      <c r="V47" s="80">
        <f>V36+V45</f>
        <v>-8200</v>
      </c>
      <c r="W47" s="63"/>
      <c r="X47" s="75"/>
      <c r="Y47" s="75"/>
      <c r="Z47" s="63"/>
      <c r="AA47" s="60" t="str">
        <f>A47</f>
        <v xml:space="preserve">            Net Cash Flow Before Corporate Adjustments</v>
      </c>
      <c r="AB47" s="80">
        <f>AB36+AB45</f>
        <v>32481</v>
      </c>
      <c r="AC47" s="80">
        <f>AC36+AC45</f>
        <v>85381</v>
      </c>
      <c r="AD47" s="80">
        <f>AD36+AD45</f>
        <v>-52900</v>
      </c>
      <c r="AE47" s="63"/>
      <c r="AF47" s="80">
        <f>AF36+AF45</f>
        <v>38700</v>
      </c>
      <c r="AG47" s="80">
        <f>AG36+AG45</f>
        <v>46900</v>
      </c>
      <c r="AH47" s="80">
        <f>AH36+AH45</f>
        <v>-8200</v>
      </c>
      <c r="AI47" s="63"/>
      <c r="AJ47" s="80">
        <f>AJ36+AJ45</f>
        <v>38481</v>
      </c>
      <c r="AK47" s="80">
        <f>AK36+AK45</f>
        <v>-6219</v>
      </c>
      <c r="AL47" s="63"/>
      <c r="AM47" s="80">
        <f>AM36+AM45</f>
        <v>19489</v>
      </c>
      <c r="AN47" s="80">
        <f>AN36+AN45</f>
        <v>12992</v>
      </c>
      <c r="AO47" s="63"/>
      <c r="AP47" s="80">
        <f>AP36+AP45</f>
        <v>67539</v>
      </c>
      <c r="AQ47" s="80">
        <f>AQ36+AQ45</f>
        <v>17842</v>
      </c>
      <c r="AR47" s="63"/>
      <c r="AS47" s="63"/>
      <c r="AT47" s="63"/>
      <c r="AU47" s="63"/>
    </row>
    <row r="48" spans="1:47" ht="6" customHeight="1">
      <c r="A48" s="9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</row>
    <row r="49" spans="1:47" ht="12.75" customHeight="1">
      <c r="A49" s="105" t="s">
        <v>363</v>
      </c>
      <c r="B49" s="63"/>
      <c r="C49" s="63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63"/>
      <c r="Q49" s="63"/>
      <c r="R49" s="63"/>
      <c r="S49" s="63"/>
      <c r="T49" s="75"/>
      <c r="U49" s="63"/>
      <c r="V49" s="63"/>
      <c r="W49" s="63"/>
      <c r="X49" s="63"/>
      <c r="Y49" s="63"/>
      <c r="Z49" s="63"/>
      <c r="AA49" s="60" t="str">
        <f>A49</f>
        <v>OTHER ITEMS AFFECTING INTERCO. (CORP.) BALANCE</v>
      </c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76"/>
      <c r="AN49" s="63"/>
      <c r="AO49" s="63"/>
      <c r="AP49" s="76"/>
      <c r="AQ49" s="63"/>
      <c r="AR49" s="63"/>
      <c r="AS49" s="63"/>
      <c r="AT49" s="63"/>
      <c r="AU49" s="63"/>
    </row>
    <row r="50" spans="1:47" ht="12.75" customHeight="1">
      <c r="A50" s="106" t="s">
        <v>511</v>
      </c>
      <c r="B50" s="63"/>
      <c r="C50" s="63"/>
      <c r="D50" s="75">
        <f>BACKUP!D496</f>
        <v>0</v>
      </c>
      <c r="E50" s="75">
        <f>BACKUP!E496</f>
        <v>0</v>
      </c>
      <c r="F50" s="75">
        <f>BACKUP!F496</f>
        <v>0</v>
      </c>
      <c r="G50" s="75">
        <f>BACKUP!G496</f>
        <v>0</v>
      </c>
      <c r="H50" s="75">
        <f>BACKUP!H496</f>
        <v>0</v>
      </c>
      <c r="I50" s="75">
        <f>BACKUP!I496</f>
        <v>0</v>
      </c>
      <c r="J50" s="75">
        <f>BACKUP!J496</f>
        <v>0</v>
      </c>
      <c r="K50" s="75">
        <f>BACKUP!K496</f>
        <v>0</v>
      </c>
      <c r="L50" s="75">
        <f>BACKUP!L496</f>
        <v>0</v>
      </c>
      <c r="M50" s="75">
        <f>BACKUP!M496</f>
        <v>0</v>
      </c>
      <c r="N50" s="75">
        <f>BACKUP!N496</f>
        <v>0</v>
      </c>
      <c r="O50" s="75">
        <f>BACKUP!O496</f>
        <v>0</v>
      </c>
      <c r="P50" s="75">
        <f>SUM(D50:O50)</f>
        <v>0</v>
      </c>
      <c r="Q50" s="76">
        <f>SUM(D50:J50)</f>
        <v>0</v>
      </c>
      <c r="R50" s="75">
        <f>P50-Q50</f>
        <v>0</v>
      </c>
      <c r="S50" s="63"/>
      <c r="T50" s="76">
        <v>0</v>
      </c>
      <c r="U50" s="76">
        <v>0</v>
      </c>
      <c r="V50" s="75">
        <f>T50-U50</f>
        <v>0</v>
      </c>
      <c r="W50" s="63"/>
      <c r="X50" s="75"/>
      <c r="Y50" s="75"/>
      <c r="Z50" s="63"/>
      <c r="AA50" s="63" t="str">
        <f>A50</f>
        <v xml:space="preserve">   Dividends Transferred to EPC </v>
      </c>
      <c r="AB50" s="75">
        <f>P50</f>
        <v>0</v>
      </c>
      <c r="AC50" s="76">
        <f>SUM(D50:L50)</f>
        <v>0</v>
      </c>
      <c r="AD50" s="75">
        <f>AB50-AC50</f>
        <v>0</v>
      </c>
      <c r="AE50" s="63"/>
      <c r="AF50" s="75">
        <f t="shared" ref="AF50:AG53" si="43">T50</f>
        <v>0</v>
      </c>
      <c r="AG50" s="75">
        <f t="shared" si="43"/>
        <v>0</v>
      </c>
      <c r="AH50" s="75">
        <f>AF50-AG50</f>
        <v>0</v>
      </c>
      <c r="AI50" s="63"/>
      <c r="AJ50" s="75">
        <f>AC50-AG50</f>
        <v>0</v>
      </c>
      <c r="AK50" s="75">
        <f>AB50-AF50</f>
        <v>0</v>
      </c>
      <c r="AL50" s="63"/>
      <c r="AM50" s="76">
        <v>0</v>
      </c>
      <c r="AN50" s="75">
        <f>AB50-AM50</f>
        <v>0</v>
      </c>
      <c r="AO50" s="63"/>
      <c r="AP50" s="76">
        <v>0</v>
      </c>
      <c r="AQ50" s="75">
        <f>AC50-AP50</f>
        <v>0</v>
      </c>
      <c r="AR50" s="63"/>
      <c r="AS50" s="63"/>
      <c r="AT50" s="63"/>
      <c r="AU50" s="63"/>
    </row>
    <row r="51" spans="1:47" ht="12.75" customHeight="1">
      <c r="A51" s="100" t="s">
        <v>364</v>
      </c>
      <c r="B51" s="63"/>
      <c r="C51" s="63"/>
      <c r="D51" s="164">
        <f>SUM(D349:D351)</f>
        <v>0</v>
      </c>
      <c r="E51" s="164">
        <f t="shared" ref="E51:O51" si="44">SUM(E349:E351)</f>
        <v>0</v>
      </c>
      <c r="F51" s="164">
        <f t="shared" si="44"/>
        <v>0</v>
      </c>
      <c r="G51" s="164">
        <f t="shared" si="44"/>
        <v>0</v>
      </c>
      <c r="H51" s="164">
        <f t="shared" si="44"/>
        <v>0</v>
      </c>
      <c r="I51" s="164">
        <f t="shared" si="44"/>
        <v>0</v>
      </c>
      <c r="J51" s="164">
        <f t="shared" si="44"/>
        <v>0</v>
      </c>
      <c r="K51" s="164">
        <f t="shared" si="44"/>
        <v>0</v>
      </c>
      <c r="L51" s="164">
        <f t="shared" si="44"/>
        <v>0</v>
      </c>
      <c r="M51" s="164">
        <f t="shared" si="44"/>
        <v>0</v>
      </c>
      <c r="N51" s="164">
        <f t="shared" si="44"/>
        <v>0</v>
      </c>
      <c r="O51" s="164">
        <f t="shared" si="44"/>
        <v>0</v>
      </c>
      <c r="P51" s="75">
        <f>SUM(D51:O51)</f>
        <v>0</v>
      </c>
      <c r="Q51" s="76">
        <f>SUM(D51:J51)</f>
        <v>0</v>
      </c>
      <c r="R51" s="75">
        <f>P51-Q51</f>
        <v>0</v>
      </c>
      <c r="S51" s="63"/>
      <c r="T51" s="76">
        <v>0</v>
      </c>
      <c r="U51" s="76">
        <v>0</v>
      </c>
      <c r="V51" s="75">
        <f>T51-U51</f>
        <v>0</v>
      </c>
      <c r="W51" s="63"/>
      <c r="X51" s="75"/>
      <c r="Y51" s="75"/>
      <c r="Z51" s="63"/>
      <c r="AA51" s="63" t="str">
        <f>A51</f>
        <v xml:space="preserve">   Inc. / (Dec.) in Long-Term Debt  (External)</v>
      </c>
      <c r="AB51" s="75">
        <f>P51</f>
        <v>0</v>
      </c>
      <c r="AC51" s="76">
        <f>SUM(D51:L51)</f>
        <v>0</v>
      </c>
      <c r="AD51" s="75">
        <f>AB51-AC51</f>
        <v>0</v>
      </c>
      <c r="AE51" s="63"/>
      <c r="AF51" s="75">
        <f t="shared" si="43"/>
        <v>0</v>
      </c>
      <c r="AG51" s="75">
        <f t="shared" si="43"/>
        <v>0</v>
      </c>
      <c r="AH51" s="75">
        <f>AF51-AG51</f>
        <v>0</v>
      </c>
      <c r="AI51" s="63"/>
      <c r="AJ51" s="75">
        <f>AC51-AG51</f>
        <v>0</v>
      </c>
      <c r="AK51" s="75">
        <f>AB51-AF51</f>
        <v>0</v>
      </c>
      <c r="AL51" s="63"/>
      <c r="AM51" s="76">
        <v>0</v>
      </c>
      <c r="AN51" s="75">
        <f>AB51-AM51</f>
        <v>0</v>
      </c>
      <c r="AO51" s="63"/>
      <c r="AP51" s="76">
        <v>0</v>
      </c>
      <c r="AQ51" s="75">
        <f>AC51-AP51</f>
        <v>0</v>
      </c>
      <c r="AR51" s="63"/>
      <c r="AS51" s="63"/>
      <c r="AT51" s="63"/>
      <c r="AU51" s="63"/>
    </row>
    <row r="52" spans="1:47" ht="12.75" customHeight="1">
      <c r="A52" s="106" t="s">
        <v>365</v>
      </c>
      <c r="B52" s="63"/>
      <c r="C52" s="63"/>
      <c r="D52" s="76">
        <v>0</v>
      </c>
      <c r="E52" s="76">
        <v>0</v>
      </c>
      <c r="F52" s="76">
        <v>0</v>
      </c>
      <c r="G52" s="76">
        <v>0</v>
      </c>
      <c r="H52" s="76">
        <v>0</v>
      </c>
      <c r="I52" s="76">
        <v>0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5">
        <f>SUM(D52:O52)</f>
        <v>0</v>
      </c>
      <c r="Q52" s="76">
        <f>SUM(D52:J52)</f>
        <v>0</v>
      </c>
      <c r="R52" s="75">
        <f>P52-Q52</f>
        <v>0</v>
      </c>
      <c r="S52" s="63"/>
      <c r="T52" s="76">
        <v>0</v>
      </c>
      <c r="U52" s="76">
        <v>0</v>
      </c>
      <c r="V52" s="75">
        <f>T52-U52</f>
        <v>0</v>
      </c>
      <c r="W52" s="63"/>
      <c r="X52" s="63"/>
      <c r="Y52" s="63"/>
      <c r="Z52" s="63"/>
      <c r="AA52" s="63" t="str">
        <f>A52</f>
        <v xml:space="preserve">   Inc. / (Dec.) in Long-Term Debt Discount </v>
      </c>
      <c r="AB52" s="75">
        <f>P52</f>
        <v>0</v>
      </c>
      <c r="AC52" s="76">
        <f>SUM(D52:L52)</f>
        <v>0</v>
      </c>
      <c r="AD52" s="75">
        <f>AB52-AC52</f>
        <v>0</v>
      </c>
      <c r="AE52" s="63"/>
      <c r="AF52" s="75">
        <f t="shared" si="43"/>
        <v>0</v>
      </c>
      <c r="AG52" s="75">
        <f t="shared" si="43"/>
        <v>0</v>
      </c>
      <c r="AH52" s="75">
        <f>AF52-AG52</f>
        <v>0</v>
      </c>
      <c r="AI52" s="63"/>
      <c r="AJ52" s="75">
        <f>AC52-AG52</f>
        <v>0</v>
      </c>
      <c r="AK52" s="75">
        <f>AB52-AF52</f>
        <v>0</v>
      </c>
      <c r="AL52" s="63"/>
      <c r="AM52" s="76">
        <v>0</v>
      </c>
      <c r="AN52" s="75">
        <f>AB52-AM52</f>
        <v>0</v>
      </c>
      <c r="AO52" s="63"/>
      <c r="AP52" s="76">
        <v>0</v>
      </c>
      <c r="AQ52" s="75">
        <f>AC52-AP52</f>
        <v>0</v>
      </c>
      <c r="AR52" s="63"/>
      <c r="AS52" s="63"/>
      <c r="AT52" s="63"/>
      <c r="AU52" s="63"/>
    </row>
    <row r="53" spans="1:47" ht="12.75" customHeight="1">
      <c r="A53" s="106" t="s">
        <v>512</v>
      </c>
      <c r="B53" s="63"/>
      <c r="C53" s="63"/>
      <c r="D53" s="79">
        <f t="shared" ref="D53:O53" si="45">D364</f>
        <v>0</v>
      </c>
      <c r="E53" s="79">
        <f t="shared" si="45"/>
        <v>0</v>
      </c>
      <c r="F53" s="79">
        <f t="shared" si="45"/>
        <v>0</v>
      </c>
      <c r="G53" s="79">
        <f t="shared" si="45"/>
        <v>0</v>
      </c>
      <c r="H53" s="79">
        <f t="shared" si="45"/>
        <v>0</v>
      </c>
      <c r="I53" s="79">
        <f t="shared" si="45"/>
        <v>0</v>
      </c>
      <c r="J53" s="79">
        <f t="shared" si="45"/>
        <v>0</v>
      </c>
      <c r="K53" s="79">
        <f t="shared" si="45"/>
        <v>0</v>
      </c>
      <c r="L53" s="79">
        <f t="shared" si="45"/>
        <v>0</v>
      </c>
      <c r="M53" s="79">
        <f t="shared" si="45"/>
        <v>0</v>
      </c>
      <c r="N53" s="79">
        <f t="shared" si="45"/>
        <v>0</v>
      </c>
      <c r="O53" s="79">
        <f t="shared" si="45"/>
        <v>0</v>
      </c>
      <c r="P53" s="80">
        <f>SUM(D53:O53)</f>
        <v>0</v>
      </c>
      <c r="Q53" s="99">
        <f>SUM(D53:J53)</f>
        <v>0</v>
      </c>
      <c r="R53" s="80">
        <f>P53-Q53</f>
        <v>0</v>
      </c>
      <c r="S53" s="63"/>
      <c r="T53" s="181">
        <v>0</v>
      </c>
      <c r="U53" s="181">
        <v>0</v>
      </c>
      <c r="V53" s="80">
        <f>T53-U53</f>
        <v>0</v>
      </c>
      <c r="W53" s="63"/>
      <c r="X53" s="63"/>
      <c r="Y53" s="63"/>
      <c r="Z53" s="63"/>
      <c r="AA53" s="63" t="str">
        <f>A53</f>
        <v xml:space="preserve">   Contribution from Parent </v>
      </c>
      <c r="AB53" s="80">
        <f>P53</f>
        <v>0</v>
      </c>
      <c r="AC53" s="99">
        <f>SUM(D53:L53)</f>
        <v>0</v>
      </c>
      <c r="AD53" s="80">
        <f>AB53-AC53</f>
        <v>0</v>
      </c>
      <c r="AE53" s="63"/>
      <c r="AF53" s="80">
        <f t="shared" si="43"/>
        <v>0</v>
      </c>
      <c r="AG53" s="80">
        <f t="shared" si="43"/>
        <v>0</v>
      </c>
      <c r="AH53" s="80">
        <f>AF53-AG53</f>
        <v>0</v>
      </c>
      <c r="AI53" s="63"/>
      <c r="AJ53" s="80">
        <f>AC53-AG53</f>
        <v>0</v>
      </c>
      <c r="AK53" s="80">
        <f>AB53-AF53</f>
        <v>0</v>
      </c>
      <c r="AL53" s="63"/>
      <c r="AM53" s="99">
        <v>0</v>
      </c>
      <c r="AN53" s="80">
        <f>AB53-AM53</f>
        <v>0</v>
      </c>
      <c r="AO53" s="63"/>
      <c r="AP53" s="99">
        <v>0</v>
      </c>
      <c r="AQ53" s="80">
        <f>AC53-AP53</f>
        <v>0</v>
      </c>
      <c r="AR53" s="63"/>
      <c r="AS53" s="63"/>
      <c r="AT53" s="63"/>
      <c r="AU53" s="63"/>
    </row>
    <row r="54" spans="1:47" ht="3.95" customHeight="1">
      <c r="A54" s="94"/>
      <c r="B54" s="63"/>
      <c r="C54" s="63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63"/>
      <c r="T54" s="75"/>
      <c r="U54" s="75"/>
      <c r="V54" s="75"/>
      <c r="W54" s="63"/>
      <c r="X54" s="75"/>
      <c r="Y54" s="75"/>
      <c r="Z54" s="63"/>
      <c r="AA54" s="63"/>
      <c r="AB54" s="75"/>
      <c r="AC54" s="75"/>
      <c r="AD54" s="75"/>
      <c r="AE54" s="63"/>
      <c r="AF54" s="75"/>
      <c r="AG54" s="75"/>
      <c r="AH54" s="75"/>
      <c r="AI54" s="63"/>
      <c r="AJ54" s="75"/>
      <c r="AK54" s="75"/>
      <c r="AL54" s="63"/>
      <c r="AM54" s="75"/>
      <c r="AN54" s="75"/>
      <c r="AO54" s="63"/>
      <c r="AP54" s="75"/>
      <c r="AQ54" s="75"/>
      <c r="AR54" s="63"/>
      <c r="AS54" s="63"/>
      <c r="AT54" s="63"/>
      <c r="AU54" s="63"/>
    </row>
    <row r="55" spans="1:47" ht="12.75" customHeight="1">
      <c r="A55" s="104" t="s">
        <v>366</v>
      </c>
      <c r="B55" s="63"/>
      <c r="C55" s="63"/>
      <c r="D55" s="80">
        <f t="shared" ref="D55:R55" si="46">SUM(D50:D54)</f>
        <v>0</v>
      </c>
      <c r="E55" s="80">
        <f t="shared" si="46"/>
        <v>0</v>
      </c>
      <c r="F55" s="80">
        <f t="shared" si="46"/>
        <v>0</v>
      </c>
      <c r="G55" s="80">
        <f t="shared" si="46"/>
        <v>0</v>
      </c>
      <c r="H55" s="80">
        <f t="shared" si="46"/>
        <v>0</v>
      </c>
      <c r="I55" s="80">
        <f t="shared" si="46"/>
        <v>0</v>
      </c>
      <c r="J55" s="80">
        <f t="shared" si="46"/>
        <v>0</v>
      </c>
      <c r="K55" s="80">
        <f t="shared" si="46"/>
        <v>0</v>
      </c>
      <c r="L55" s="80">
        <f t="shared" si="46"/>
        <v>0</v>
      </c>
      <c r="M55" s="80">
        <f t="shared" si="46"/>
        <v>0</v>
      </c>
      <c r="N55" s="80">
        <f t="shared" si="46"/>
        <v>0</v>
      </c>
      <c r="O55" s="80">
        <f t="shared" si="46"/>
        <v>0</v>
      </c>
      <c r="P55" s="80">
        <f t="shared" si="46"/>
        <v>0</v>
      </c>
      <c r="Q55" s="80">
        <f t="shared" si="46"/>
        <v>0</v>
      </c>
      <c r="R55" s="80">
        <f t="shared" si="46"/>
        <v>0</v>
      </c>
      <c r="S55" s="63"/>
      <c r="T55" s="80">
        <f>SUM(T50:T54)</f>
        <v>0</v>
      </c>
      <c r="U55" s="80">
        <f>SUM(U50:U54)</f>
        <v>0</v>
      </c>
      <c r="V55" s="80">
        <f>SUM(V50:V54)</f>
        <v>0</v>
      </c>
      <c r="W55" s="63"/>
      <c r="X55" s="75"/>
      <c r="Y55" s="75"/>
      <c r="Z55" s="63"/>
      <c r="AA55" s="60" t="str">
        <f>A55</f>
        <v xml:space="preserve">      Total Items Affecting Intercompany (Corp.) Balance</v>
      </c>
      <c r="AB55" s="80">
        <f>SUM(AB50:AB54)</f>
        <v>0</v>
      </c>
      <c r="AC55" s="80">
        <f>SUM(AC50:AC54)</f>
        <v>0</v>
      </c>
      <c r="AD55" s="80">
        <f>SUM(AD50:AD54)</f>
        <v>0</v>
      </c>
      <c r="AE55" s="63"/>
      <c r="AF55" s="80">
        <f>SUM(AF50:AF54)</f>
        <v>0</v>
      </c>
      <c r="AG55" s="80">
        <f>SUM(AG50:AG54)</f>
        <v>0</v>
      </c>
      <c r="AH55" s="80">
        <f>SUM(AH50:AH54)</f>
        <v>0</v>
      </c>
      <c r="AI55" s="63"/>
      <c r="AJ55" s="80">
        <f>SUM(AJ50:AJ54)</f>
        <v>0</v>
      </c>
      <c r="AK55" s="80">
        <f>SUM(AK50:AK54)</f>
        <v>0</v>
      </c>
      <c r="AL55" s="63"/>
      <c r="AM55" s="80">
        <f>SUM(AM50:AM54)</f>
        <v>0</v>
      </c>
      <c r="AN55" s="80">
        <f>SUM(AN50:AN54)</f>
        <v>0</v>
      </c>
      <c r="AO55" s="63"/>
      <c r="AP55" s="80">
        <f>SUM(AP50:AP54)</f>
        <v>0</v>
      </c>
      <c r="AQ55" s="80">
        <f>SUM(AQ50:AQ54)</f>
        <v>0</v>
      </c>
      <c r="AR55" s="63"/>
      <c r="AS55" s="63"/>
      <c r="AT55" s="63"/>
      <c r="AU55" s="63"/>
    </row>
    <row r="56" spans="1:47" ht="6" customHeight="1">
      <c r="A56" s="9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76"/>
      <c r="AN56" s="63"/>
      <c r="AO56" s="63"/>
      <c r="AP56" s="76"/>
      <c r="AQ56" s="63"/>
      <c r="AR56" s="63"/>
      <c r="AS56" s="63"/>
      <c r="AT56" s="63"/>
      <c r="AU56" s="63"/>
    </row>
    <row r="57" spans="1:47">
      <c r="A57" s="104" t="s">
        <v>367</v>
      </c>
      <c r="B57" s="63"/>
      <c r="C57" s="63"/>
      <c r="D57" s="75">
        <f>D47+D55</f>
        <v>31364</v>
      </c>
      <c r="E57" s="75">
        <f t="shared" ref="E57:T57" si="47">E47+E55</f>
        <v>-29096</v>
      </c>
      <c r="F57" s="75">
        <f t="shared" si="47"/>
        <v>8294</v>
      </c>
      <c r="G57" s="75">
        <f t="shared" si="47"/>
        <v>47457</v>
      </c>
      <c r="H57" s="75">
        <f t="shared" si="47"/>
        <v>13345</v>
      </c>
      <c r="I57" s="75">
        <f t="shared" si="47"/>
        <v>-3733</v>
      </c>
      <c r="J57" s="75">
        <f t="shared" si="47"/>
        <v>11701</v>
      </c>
      <c r="K57" s="75">
        <f t="shared" si="47"/>
        <v>11449</v>
      </c>
      <c r="L57" s="75">
        <f t="shared" si="47"/>
        <v>-5400</v>
      </c>
      <c r="M57" s="75">
        <f t="shared" si="47"/>
        <v>-16600</v>
      </c>
      <c r="N57" s="75">
        <f t="shared" si="47"/>
        <v>-22000</v>
      </c>
      <c r="O57" s="75">
        <f t="shared" si="47"/>
        <v>-14300</v>
      </c>
      <c r="P57" s="75">
        <f t="shared" si="47"/>
        <v>32481</v>
      </c>
      <c r="Q57" s="75">
        <f t="shared" si="47"/>
        <v>79332</v>
      </c>
      <c r="R57" s="75">
        <f t="shared" si="47"/>
        <v>-46851</v>
      </c>
      <c r="S57" s="63"/>
      <c r="T57" s="75">
        <f t="shared" si="47"/>
        <v>38700</v>
      </c>
      <c r="U57" s="75">
        <f>U47+U55</f>
        <v>46900</v>
      </c>
      <c r="V57" s="75">
        <f>V47+V55</f>
        <v>-8200</v>
      </c>
      <c r="W57" s="63"/>
      <c r="X57" s="63"/>
      <c r="Y57" s="63"/>
      <c r="Z57" s="63"/>
      <c r="AA57" s="60" t="str">
        <f>A57</f>
        <v>INCREASE / (DECREASE) IN INTERCOMPANY CASH</v>
      </c>
      <c r="AB57" s="75">
        <f t="shared" ref="AB57:AQ57" si="48">AB47+AB55</f>
        <v>32481</v>
      </c>
      <c r="AC57" s="75">
        <f t="shared" si="48"/>
        <v>85381</v>
      </c>
      <c r="AD57" s="75">
        <f t="shared" si="48"/>
        <v>-52900</v>
      </c>
      <c r="AE57" s="63"/>
      <c r="AF57" s="75">
        <f t="shared" si="48"/>
        <v>38700</v>
      </c>
      <c r="AG57" s="75">
        <f t="shared" si="48"/>
        <v>46900</v>
      </c>
      <c r="AH57" s="75">
        <f t="shared" si="48"/>
        <v>-8200</v>
      </c>
      <c r="AI57" s="63"/>
      <c r="AJ57" s="75">
        <f t="shared" si="48"/>
        <v>38481</v>
      </c>
      <c r="AK57" s="75">
        <f t="shared" si="48"/>
        <v>-6219</v>
      </c>
      <c r="AL57" s="63"/>
      <c r="AM57" s="75">
        <f t="shared" si="48"/>
        <v>19489</v>
      </c>
      <c r="AN57" s="75">
        <f t="shared" si="48"/>
        <v>12992</v>
      </c>
      <c r="AO57" s="63"/>
      <c r="AP57" s="75">
        <f t="shared" si="48"/>
        <v>67539</v>
      </c>
      <c r="AQ57" s="75">
        <f t="shared" si="48"/>
        <v>17842</v>
      </c>
      <c r="AR57" s="63"/>
      <c r="AS57" s="63"/>
      <c r="AT57" s="63"/>
      <c r="AU57" s="63"/>
    </row>
    <row r="58" spans="1:47" ht="6" customHeight="1">
      <c r="A58" s="9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</row>
    <row r="59" spans="1:47">
      <c r="A59" s="104" t="s">
        <v>368</v>
      </c>
      <c r="B59" s="63"/>
      <c r="C59" s="63"/>
      <c r="D59" s="79">
        <f>-BACKUP!D438-BACKUP!D487</f>
        <v>-6</v>
      </c>
      <c r="E59" s="79">
        <f>-BACKUP!E438-BACKUP!E487</f>
        <v>-6</v>
      </c>
      <c r="F59" s="79">
        <f>-BACKUP!F438-BACKUP!F487</f>
        <v>-7</v>
      </c>
      <c r="G59" s="79">
        <f>-BACKUP!G438-BACKUP!G487</f>
        <v>-6</v>
      </c>
      <c r="H59" s="79">
        <f>-BACKUP!H438-BACKUP!H487</f>
        <v>-7</v>
      </c>
      <c r="I59" s="79">
        <f>-BACKUP!I438-BACKUP!I487</f>
        <v>-6</v>
      </c>
      <c r="J59" s="79">
        <f>-BACKUP!J438-BACKUP!J487</f>
        <v>-7</v>
      </c>
      <c r="K59" s="79">
        <f>-BACKUP!K438-BACKUP!K487</f>
        <v>-6</v>
      </c>
      <c r="L59" s="79">
        <f>-BACKUP!L438-BACKUP!L487</f>
        <v>-7</v>
      </c>
      <c r="M59" s="79">
        <f>-BACKUP!M438-BACKUP!M487</f>
        <v>-6</v>
      </c>
      <c r="N59" s="79">
        <f>-BACKUP!N438-BACKUP!N487</f>
        <v>-7</v>
      </c>
      <c r="O59" s="79">
        <f>-BACKUP!O438-BACKUP!O487</f>
        <v>-6</v>
      </c>
      <c r="P59" s="80">
        <f>SUM(D59:O59)</f>
        <v>-77</v>
      </c>
      <c r="Q59" s="99">
        <f>SUM(D59:J59)</f>
        <v>-45</v>
      </c>
      <c r="R59" s="80">
        <f>P59-Q59</f>
        <v>-32</v>
      </c>
      <c r="S59" s="63"/>
      <c r="T59" s="99">
        <v>-77</v>
      </c>
      <c r="U59" s="99">
        <v>-58</v>
      </c>
      <c r="V59" s="80">
        <f>T59-U59</f>
        <v>-19</v>
      </c>
      <c r="W59" s="63"/>
      <c r="X59" s="63"/>
      <c r="Y59" s="63"/>
      <c r="Z59" s="63"/>
      <c r="AA59" s="60" t="str">
        <f>A59</f>
        <v xml:space="preserve">      Change in Other Obligations</v>
      </c>
      <c r="AB59" s="80">
        <f>P59</f>
        <v>-77</v>
      </c>
      <c r="AC59" s="99">
        <f>SUM(D59:L59)</f>
        <v>-58</v>
      </c>
      <c r="AD59" s="80">
        <f>AB59-AC59</f>
        <v>-19</v>
      </c>
      <c r="AE59" s="63"/>
      <c r="AF59" s="80">
        <f>T59</f>
        <v>-77</v>
      </c>
      <c r="AG59" s="80">
        <f>U59</f>
        <v>-58</v>
      </c>
      <c r="AH59" s="80">
        <f>AF59-AG59</f>
        <v>-19</v>
      </c>
      <c r="AI59" s="63"/>
      <c r="AJ59" s="80">
        <f>AC59-AG59</f>
        <v>0</v>
      </c>
      <c r="AK59" s="80">
        <f>AB59-AF59</f>
        <v>0</v>
      </c>
      <c r="AL59" s="63"/>
      <c r="AM59" s="99">
        <v>-77</v>
      </c>
      <c r="AN59" s="80">
        <f>AB59-AM59</f>
        <v>0</v>
      </c>
      <c r="AO59" s="63"/>
      <c r="AP59" s="99">
        <v>-58</v>
      </c>
      <c r="AQ59" s="80">
        <f>AC59-AP59</f>
        <v>0</v>
      </c>
      <c r="AR59" s="63"/>
      <c r="AS59" s="63"/>
      <c r="AT59" s="63"/>
      <c r="AU59" s="63"/>
    </row>
    <row r="60" spans="1:47" ht="6" customHeight="1">
      <c r="A60" s="9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</row>
    <row r="61" spans="1:47">
      <c r="A61" s="104" t="s">
        <v>369</v>
      </c>
      <c r="B61" s="63"/>
      <c r="C61" s="63"/>
      <c r="D61" s="82">
        <f t="shared" ref="D61:R61" si="49">D57+D59</f>
        <v>31358</v>
      </c>
      <c r="E61" s="82">
        <f t="shared" si="49"/>
        <v>-29102</v>
      </c>
      <c r="F61" s="82">
        <f t="shared" si="49"/>
        <v>8287</v>
      </c>
      <c r="G61" s="82">
        <f t="shared" si="49"/>
        <v>47451</v>
      </c>
      <c r="H61" s="82">
        <f t="shared" si="49"/>
        <v>13338</v>
      </c>
      <c r="I61" s="82">
        <f t="shared" si="49"/>
        <v>-3739</v>
      </c>
      <c r="J61" s="82">
        <f t="shared" si="49"/>
        <v>11694</v>
      </c>
      <c r="K61" s="82">
        <f t="shared" si="49"/>
        <v>11443</v>
      </c>
      <c r="L61" s="82">
        <f t="shared" si="49"/>
        <v>-5407</v>
      </c>
      <c r="M61" s="82">
        <f t="shared" si="49"/>
        <v>-16606</v>
      </c>
      <c r="N61" s="82">
        <f t="shared" si="49"/>
        <v>-22007</v>
      </c>
      <c r="O61" s="82">
        <f t="shared" si="49"/>
        <v>-14306</v>
      </c>
      <c r="P61" s="82">
        <f t="shared" si="49"/>
        <v>32404</v>
      </c>
      <c r="Q61" s="82">
        <f t="shared" si="49"/>
        <v>79287</v>
      </c>
      <c r="R61" s="82">
        <f t="shared" si="49"/>
        <v>-46883</v>
      </c>
      <c r="S61" s="63"/>
      <c r="T61" s="82">
        <f>T57+T59</f>
        <v>38623</v>
      </c>
      <c r="U61" s="82">
        <f>U57+U59</f>
        <v>46842</v>
      </c>
      <c r="V61" s="82">
        <f>V57+V59</f>
        <v>-8219</v>
      </c>
      <c r="W61" s="63"/>
      <c r="X61" s="63"/>
      <c r="Y61" s="63"/>
      <c r="Z61" s="63"/>
      <c r="AA61" s="60" t="str">
        <f>A61</f>
        <v>INCREASE / (DECREASE) IN TOTAL OBLIGATIONS</v>
      </c>
      <c r="AB61" s="82">
        <f>AB57+AB59</f>
        <v>32404</v>
      </c>
      <c r="AC61" s="82">
        <f>AC57+AC59</f>
        <v>85323</v>
      </c>
      <c r="AD61" s="82">
        <f>AD57+AD59</f>
        <v>-52919</v>
      </c>
      <c r="AE61" s="63"/>
      <c r="AF61" s="82">
        <f>AF57+AF59</f>
        <v>38623</v>
      </c>
      <c r="AG61" s="82">
        <f>AG57+AG59</f>
        <v>46842</v>
      </c>
      <c r="AH61" s="82">
        <f>AH57+AH59</f>
        <v>-8219</v>
      </c>
      <c r="AI61" s="63"/>
      <c r="AJ61" s="82">
        <f>AJ57+AJ59</f>
        <v>38481</v>
      </c>
      <c r="AK61" s="82">
        <f>AK57+AK59</f>
        <v>-6219</v>
      </c>
      <c r="AL61" s="63"/>
      <c r="AM61" s="82">
        <f>AM57+AM59</f>
        <v>19412</v>
      </c>
      <c r="AN61" s="82">
        <f>AN57+AN59</f>
        <v>12992</v>
      </c>
      <c r="AO61" s="63"/>
      <c r="AP61" s="82">
        <f>AP57+AP59</f>
        <v>67481</v>
      </c>
      <c r="AQ61" s="82">
        <f>AQ57+AQ59</f>
        <v>17842</v>
      </c>
      <c r="AR61" s="63"/>
      <c r="AS61" s="63"/>
      <c r="AT61" s="63"/>
      <c r="AU61" s="63"/>
    </row>
    <row r="62" spans="1:47" ht="8.1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</row>
    <row r="63" spans="1:47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</row>
    <row r="64" spans="1:47">
      <c r="A64" s="21" t="str">
        <f ca="1">A1</f>
        <v>C:\Users\Felienne\Enron\EnronSpreadsheets\[tracy_geaccone__40393__NNG3rdCECF.xls]BACKUP</v>
      </c>
      <c r="B64" s="60"/>
      <c r="C64" s="60"/>
      <c r="D64" s="60"/>
      <c r="E64" s="60"/>
      <c r="F64" s="60"/>
      <c r="G64" s="60"/>
      <c r="H64" s="60"/>
      <c r="I64" s="102" t="str">
        <f>I1</f>
        <v>NORTHERN NATURAL GAS GROUP</v>
      </c>
      <c r="J64" s="102"/>
      <c r="K64" s="102"/>
      <c r="L64" s="102"/>
      <c r="M64" s="60"/>
      <c r="N64" s="60"/>
      <c r="O64" s="60"/>
      <c r="P64" s="60"/>
      <c r="Q64" s="60"/>
      <c r="R64" s="60"/>
      <c r="S64" s="60"/>
      <c r="T64" s="60"/>
      <c r="U64" s="60"/>
      <c r="V64" s="62">
        <f ca="1">NOW()</f>
        <v>41887.551206018521</v>
      </c>
      <c r="W64" s="63"/>
      <c r="X64" s="63"/>
      <c r="Y64" s="63"/>
      <c r="Z64" s="63"/>
      <c r="AA64" s="64" t="str">
        <f ca="1">A64</f>
        <v>C:\Users\Felienne\Enron\EnronSpreadsheets\[tracy_geaccone__40393__NNG3rdCECF.xls]BACKUP</v>
      </c>
      <c r="AB64" s="60"/>
      <c r="AC64" s="60"/>
      <c r="AD64" s="102" t="str">
        <f>I64</f>
        <v>NORTHERN NATURAL GAS GROUP</v>
      </c>
      <c r="AE64" s="102"/>
      <c r="AF64" s="102"/>
      <c r="AG64" s="102"/>
      <c r="AH64" s="60"/>
      <c r="AI64" s="60"/>
      <c r="AJ64" s="60"/>
      <c r="AK64" s="65"/>
      <c r="AL64" s="60"/>
      <c r="AM64" s="60"/>
      <c r="AN64" s="63"/>
      <c r="AO64" s="63"/>
      <c r="AP64" s="63"/>
      <c r="AQ64" s="62">
        <f ca="1">NOW()</f>
        <v>41887.551206018521</v>
      </c>
      <c r="AR64" s="63"/>
      <c r="AS64" s="63"/>
      <c r="AT64" s="63"/>
      <c r="AU64" s="63"/>
    </row>
    <row r="65" spans="1:47">
      <c r="A65" s="66" t="s">
        <v>370</v>
      </c>
      <c r="B65" s="60"/>
      <c r="C65" s="60"/>
      <c r="D65" s="60"/>
      <c r="E65" s="60"/>
      <c r="F65" s="60"/>
      <c r="G65" s="60"/>
      <c r="H65" s="60"/>
      <c r="I65" s="160" t="s">
        <v>371</v>
      </c>
      <c r="J65" s="102"/>
      <c r="K65" s="102"/>
      <c r="L65" s="102"/>
      <c r="M65" s="60"/>
      <c r="N65" s="60"/>
      <c r="O65" s="60"/>
      <c r="P65" s="60"/>
      <c r="Q65" s="60"/>
      <c r="R65" s="60"/>
      <c r="S65" s="60"/>
      <c r="T65" s="60"/>
      <c r="U65" s="60"/>
      <c r="V65" s="67">
        <f ca="1">NOW()</f>
        <v>41887.551206018521</v>
      </c>
      <c r="W65" s="63"/>
      <c r="X65" s="63"/>
      <c r="Y65" s="63"/>
      <c r="Z65" s="63"/>
      <c r="AA65" s="21" t="s">
        <v>372</v>
      </c>
      <c r="AB65" s="60"/>
      <c r="AC65" s="60"/>
      <c r="AD65" s="102" t="str">
        <f>I65</f>
        <v>TOTAL OBLIGATIONS</v>
      </c>
      <c r="AE65" s="102"/>
      <c r="AF65" s="102"/>
      <c r="AG65" s="102"/>
      <c r="AH65" s="60"/>
      <c r="AI65" s="60"/>
      <c r="AJ65" s="60"/>
      <c r="AK65" s="68"/>
      <c r="AL65" s="60"/>
      <c r="AM65" s="60"/>
      <c r="AN65" s="63"/>
      <c r="AO65" s="63"/>
      <c r="AP65" s="63"/>
      <c r="AQ65" s="67">
        <f ca="1">NOW()</f>
        <v>41887.551206018521</v>
      </c>
      <c r="AR65" s="63"/>
      <c r="AS65" s="63"/>
      <c r="AT65" s="63"/>
      <c r="AU65" s="63"/>
    </row>
    <row r="66" spans="1:47">
      <c r="A66" s="68"/>
      <c r="B66" s="60"/>
      <c r="C66" s="60"/>
      <c r="D66" s="60"/>
      <c r="E66" s="60"/>
      <c r="F66" s="60"/>
      <c r="G66" s="60"/>
      <c r="H66" s="60"/>
      <c r="I66" s="102" t="str">
        <f>I3</f>
        <v>2001 ACTUAL / ESTIMATE</v>
      </c>
      <c r="J66" s="102"/>
      <c r="K66" s="102"/>
      <c r="L66" s="102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3"/>
      <c r="X66" s="63"/>
      <c r="Y66" s="63"/>
      <c r="Z66" s="63"/>
      <c r="AA66" s="68"/>
      <c r="AB66" s="60"/>
      <c r="AC66" s="60"/>
      <c r="AD66" s="102" t="str">
        <f>I66</f>
        <v>2001 ACTUAL / ESTIMATE</v>
      </c>
      <c r="AE66" s="102"/>
      <c r="AF66" s="102"/>
      <c r="AG66" s="102"/>
      <c r="AH66" s="60"/>
      <c r="AI66" s="60"/>
      <c r="AJ66" s="60"/>
      <c r="AK66" s="60"/>
      <c r="AL66" s="60"/>
      <c r="AM66" s="60"/>
      <c r="AN66" s="60"/>
      <c r="AO66" s="63"/>
      <c r="AP66" s="63"/>
      <c r="AQ66" s="63"/>
      <c r="AR66" s="63"/>
      <c r="AS66" s="63"/>
      <c r="AT66" s="63"/>
      <c r="AU66" s="63"/>
    </row>
    <row r="67" spans="1:47">
      <c r="A67" s="60"/>
      <c r="B67" s="60"/>
      <c r="C67" s="60"/>
      <c r="D67" s="60"/>
      <c r="E67" s="60"/>
      <c r="F67" s="60"/>
      <c r="G67" s="60"/>
      <c r="H67" s="60"/>
      <c r="I67" s="102" t="str">
        <f>I4</f>
        <v>(Thousands of Dollars)</v>
      </c>
      <c r="J67" s="102"/>
      <c r="K67" s="102"/>
      <c r="L67" s="102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3"/>
      <c r="X67" s="63"/>
      <c r="Y67" s="63"/>
      <c r="Z67" s="63"/>
      <c r="AA67" s="60"/>
      <c r="AB67" s="60"/>
      <c r="AC67" s="60"/>
      <c r="AD67" s="102" t="str">
        <f>I67</f>
        <v>(Thousands of Dollars)</v>
      </c>
      <c r="AE67" s="102"/>
      <c r="AF67" s="102"/>
      <c r="AG67" s="102"/>
      <c r="AH67" s="60"/>
      <c r="AI67" s="60"/>
      <c r="AJ67" s="60"/>
      <c r="AK67" s="60"/>
      <c r="AL67" s="60"/>
      <c r="AM67" s="60"/>
      <c r="AN67" s="60"/>
      <c r="AO67" s="63"/>
      <c r="AP67" s="63"/>
      <c r="AQ67" s="63"/>
      <c r="AR67" s="63"/>
      <c r="AS67" s="63"/>
      <c r="AT67" s="63"/>
      <c r="AU67" s="63"/>
    </row>
    <row r="68" spans="1:47">
      <c r="A68" s="60"/>
      <c r="B68" s="60"/>
      <c r="C68" s="60"/>
      <c r="D68" s="7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208"/>
      <c r="Q68" s="60"/>
      <c r="R68" s="60"/>
      <c r="S68" s="60"/>
      <c r="T68" s="70">
        <f>T5</f>
        <v>0</v>
      </c>
      <c r="U68" s="60"/>
      <c r="V68" s="70">
        <f>V5</f>
        <v>0</v>
      </c>
      <c r="W68" s="63"/>
      <c r="X68" s="63"/>
      <c r="Y68" s="63"/>
      <c r="Z68" s="63"/>
      <c r="AA68" s="60"/>
      <c r="AB68" s="60"/>
      <c r="AC68" s="60"/>
      <c r="AD68" s="60"/>
      <c r="AE68" s="60"/>
      <c r="AF68" s="70">
        <f>AF5</f>
        <v>0</v>
      </c>
      <c r="AG68" s="70"/>
      <c r="AH68" s="70">
        <f>AH5</f>
        <v>0</v>
      </c>
      <c r="AI68" s="60"/>
      <c r="AJ68" s="63"/>
      <c r="AK68" s="70">
        <f>AK5</f>
        <v>0</v>
      </c>
      <c r="AL68" s="60"/>
      <c r="AM68" s="63"/>
      <c r="AN68" s="60"/>
      <c r="AO68" s="63"/>
      <c r="AP68" s="172"/>
      <c r="AQ68" s="161"/>
      <c r="AR68" s="63"/>
      <c r="AS68" s="63"/>
      <c r="AT68" s="63"/>
      <c r="AU68" s="63"/>
    </row>
    <row r="69" spans="1:47">
      <c r="A69" s="60"/>
      <c r="B69" s="60"/>
      <c r="C69" s="60"/>
      <c r="D69" s="70" t="str">
        <f t="shared" ref="D69:R69" si="50">D6</f>
        <v>ACT.</v>
      </c>
      <c r="E69" s="70" t="str">
        <f t="shared" si="50"/>
        <v>ACT.</v>
      </c>
      <c r="F69" s="70" t="str">
        <f t="shared" si="50"/>
        <v>ACT.</v>
      </c>
      <c r="G69" s="70" t="str">
        <f t="shared" si="50"/>
        <v>ACT.</v>
      </c>
      <c r="H69" s="70" t="str">
        <f t="shared" si="50"/>
        <v>ACT.</v>
      </c>
      <c r="I69" s="70" t="str">
        <f t="shared" si="50"/>
        <v>ACT.</v>
      </c>
      <c r="J69" s="70" t="str">
        <f t="shared" si="50"/>
        <v>ACT.</v>
      </c>
      <c r="K69" s="70" t="str">
        <f t="shared" si="50"/>
        <v>ACT.</v>
      </c>
      <c r="L69" s="70" t="str">
        <f t="shared" si="50"/>
        <v>3rd CE</v>
      </c>
      <c r="M69" s="70" t="str">
        <f t="shared" si="50"/>
        <v>3rd CE</v>
      </c>
      <c r="N69" s="70" t="str">
        <f t="shared" si="50"/>
        <v>3rd CE</v>
      </c>
      <c r="O69" s="70" t="str">
        <f t="shared" si="50"/>
        <v>3rd CE</v>
      </c>
      <c r="P69" s="70" t="str">
        <f t="shared" si="50"/>
        <v>TOTAL</v>
      </c>
      <c r="Q69" s="70" t="str">
        <f t="shared" si="50"/>
        <v>JULY</v>
      </c>
      <c r="R69" s="70" t="str">
        <f t="shared" si="50"/>
        <v>ESTIMATED</v>
      </c>
      <c r="S69" s="60"/>
      <c r="T69" s="70" t="str">
        <f>T6</f>
        <v>PLAN</v>
      </c>
      <c r="U69" s="70" t="str">
        <f>U6</f>
        <v>SEPT.</v>
      </c>
      <c r="V69" s="70" t="str">
        <f>V6</f>
        <v>PLAN</v>
      </c>
      <c r="W69" s="63"/>
      <c r="X69" s="63"/>
      <c r="Y69" s="63"/>
      <c r="Z69" s="63"/>
      <c r="AA69" s="60"/>
      <c r="AB69" s="71" t="str">
        <f t="shared" ref="AB69:AD70" si="51">AB6</f>
        <v>TOTAL</v>
      </c>
      <c r="AC69" s="71" t="str">
        <f t="shared" si="51"/>
        <v>SEPT.</v>
      </c>
      <c r="AD69" s="71" t="str">
        <f t="shared" si="51"/>
        <v>ESTIMATED</v>
      </c>
      <c r="AE69" s="60"/>
      <c r="AF69" s="70" t="str">
        <f>AF6</f>
        <v>PLAN</v>
      </c>
      <c r="AG69" s="70" t="str">
        <f>AG6</f>
        <v>SEPT.</v>
      </c>
      <c r="AH69" s="70" t="str">
        <f>AH6</f>
        <v>PLAN</v>
      </c>
      <c r="AI69" s="102"/>
      <c r="AJ69" s="103" t="str">
        <f>AJ6</f>
        <v>ACT./EST. vs. PLAN</v>
      </c>
      <c r="AK69" s="72"/>
      <c r="AL69" s="60"/>
      <c r="AM69" s="103" t="str">
        <f>AM6</f>
        <v>2nd C.E.</v>
      </c>
      <c r="AN69" s="103"/>
      <c r="AO69" s="63"/>
      <c r="AP69" s="103" t="str">
        <f>AP6</f>
        <v>Sept. YTD</v>
      </c>
      <c r="AQ69" s="72"/>
      <c r="AR69" s="63"/>
      <c r="AS69" s="63"/>
      <c r="AT69" s="63"/>
      <c r="AU69" s="63"/>
    </row>
    <row r="70" spans="1:47" ht="12.95" customHeight="1">
      <c r="A70" s="60"/>
      <c r="B70" s="60"/>
      <c r="C70" s="60"/>
      <c r="D70" s="73" t="str">
        <f t="shared" ref="D70:R70" si="52">D7</f>
        <v>JAN</v>
      </c>
      <c r="E70" s="73" t="str">
        <f t="shared" si="52"/>
        <v>FEB</v>
      </c>
      <c r="F70" s="73" t="str">
        <f t="shared" si="52"/>
        <v>MAR</v>
      </c>
      <c r="G70" s="73" t="str">
        <f t="shared" si="52"/>
        <v>APR</v>
      </c>
      <c r="H70" s="73" t="str">
        <f t="shared" si="52"/>
        <v>MAY</v>
      </c>
      <c r="I70" s="73" t="str">
        <f t="shared" si="52"/>
        <v>JUN</v>
      </c>
      <c r="J70" s="73" t="str">
        <f t="shared" si="52"/>
        <v>JUL</v>
      </c>
      <c r="K70" s="73" t="str">
        <f t="shared" si="52"/>
        <v>AUG</v>
      </c>
      <c r="L70" s="73" t="str">
        <f t="shared" si="52"/>
        <v>SEP</v>
      </c>
      <c r="M70" s="73" t="str">
        <f t="shared" si="52"/>
        <v>OCT</v>
      </c>
      <c r="N70" s="73" t="str">
        <f t="shared" si="52"/>
        <v>NOV</v>
      </c>
      <c r="O70" s="73" t="str">
        <f t="shared" si="52"/>
        <v>DEC</v>
      </c>
      <c r="P70" s="73">
        <f t="shared" si="52"/>
        <v>2001</v>
      </c>
      <c r="Q70" s="73" t="str">
        <f t="shared" si="52"/>
        <v>Y-T-D</v>
      </c>
      <c r="R70" s="73" t="str">
        <f t="shared" si="52"/>
        <v>R.M.</v>
      </c>
      <c r="S70" s="60"/>
      <c r="T70" s="73">
        <f>T7</f>
        <v>2001</v>
      </c>
      <c r="U70" s="73" t="str">
        <f>U7</f>
        <v>Y-T-D</v>
      </c>
      <c r="V70" s="73" t="str">
        <f>V7</f>
        <v>R.M.</v>
      </c>
      <c r="W70" s="63"/>
      <c r="X70" s="63"/>
      <c r="Y70" s="63"/>
      <c r="Z70" s="63"/>
      <c r="AA70" s="60"/>
      <c r="AB70" s="74">
        <f t="shared" si="51"/>
        <v>2001</v>
      </c>
      <c r="AC70" s="74" t="str">
        <f t="shared" si="51"/>
        <v>Y-T-D</v>
      </c>
      <c r="AD70" s="74" t="str">
        <f t="shared" si="51"/>
        <v>R.M.</v>
      </c>
      <c r="AE70" s="60"/>
      <c r="AF70" s="74">
        <f>AF7</f>
        <v>2001</v>
      </c>
      <c r="AG70" s="74" t="str">
        <f>AG7</f>
        <v>Y-T-D</v>
      </c>
      <c r="AH70" s="74" t="str">
        <f>AH7</f>
        <v>R.M.</v>
      </c>
      <c r="AI70" s="60"/>
      <c r="AJ70" s="74" t="str">
        <f>AJ7</f>
        <v>Y-T-D</v>
      </c>
      <c r="AK70" s="74" t="str">
        <f>AK7</f>
        <v>ANNUAL</v>
      </c>
      <c r="AL70" s="60"/>
      <c r="AM70" s="74" t="str">
        <f>AM7</f>
        <v>ANNUAL</v>
      </c>
      <c r="AN70" s="74" t="str">
        <f>AN7</f>
        <v>Variance</v>
      </c>
      <c r="AO70" s="63"/>
      <c r="AP70" s="74" t="str">
        <f>AP7</f>
        <v>2nd C.E.</v>
      </c>
      <c r="AQ70" s="74" t="str">
        <f>AQ7</f>
        <v>Variance</v>
      </c>
      <c r="AR70" s="63"/>
      <c r="AS70" s="63"/>
      <c r="AT70" s="63"/>
      <c r="AU70" s="63"/>
    </row>
    <row r="71" spans="1:47" ht="3.95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</row>
    <row r="72" spans="1:47">
      <c r="A72" s="100" t="s">
        <v>373</v>
      </c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 t="str">
        <f t="shared" ref="AA72:AA79" si="53">A72</f>
        <v>Cash Flow From Operations</v>
      </c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</row>
    <row r="73" spans="1:47">
      <c r="A73" s="106" t="s">
        <v>374</v>
      </c>
      <c r="B73" s="63"/>
      <c r="C73" s="63"/>
      <c r="D73" s="75">
        <f>D9</f>
        <v>19634</v>
      </c>
      <c r="E73" s="75">
        <f t="shared" ref="E73:O73" si="54">E9</f>
        <v>18785</v>
      </c>
      <c r="F73" s="75">
        <f t="shared" si="54"/>
        <v>17695</v>
      </c>
      <c r="G73" s="75">
        <f t="shared" si="54"/>
        <v>3079</v>
      </c>
      <c r="H73" s="75">
        <f t="shared" si="54"/>
        <v>992</v>
      </c>
      <c r="I73" s="75">
        <f t="shared" si="54"/>
        <v>2966</v>
      </c>
      <c r="J73" s="75">
        <f t="shared" si="54"/>
        <v>1548</v>
      </c>
      <c r="K73" s="75">
        <f t="shared" si="54"/>
        <v>2474</v>
      </c>
      <c r="L73" s="75">
        <f t="shared" si="54"/>
        <v>646</v>
      </c>
      <c r="M73" s="75">
        <f t="shared" si="54"/>
        <v>-1185</v>
      </c>
      <c r="N73" s="75">
        <f t="shared" si="54"/>
        <v>16351</v>
      </c>
      <c r="O73" s="75">
        <f t="shared" si="54"/>
        <v>16756</v>
      </c>
      <c r="P73" s="75">
        <f t="shared" ref="P73:P79" si="55">SUM(D73:O73)</f>
        <v>99741</v>
      </c>
      <c r="Q73" s="76">
        <f t="shared" ref="Q73:Q79" si="56">SUM(D73:J73)</f>
        <v>64699</v>
      </c>
      <c r="R73" s="75">
        <f t="shared" ref="R73:R79" si="57">P73-Q73</f>
        <v>35042</v>
      </c>
      <c r="S73" s="63"/>
      <c r="T73" s="75">
        <f>T9</f>
        <v>101324</v>
      </c>
      <c r="U73" s="75">
        <f>U9</f>
        <v>64319</v>
      </c>
      <c r="V73" s="75">
        <f>V9</f>
        <v>37005</v>
      </c>
      <c r="W73" s="63"/>
      <c r="X73" s="63"/>
      <c r="Y73" s="63"/>
      <c r="Z73" s="63"/>
      <c r="AA73" s="63" t="str">
        <f t="shared" si="53"/>
        <v xml:space="preserve">      Net Income After Financing Costs</v>
      </c>
      <c r="AB73" s="75">
        <f t="shared" ref="AB73:AB79" si="58">P73</f>
        <v>99741</v>
      </c>
      <c r="AC73" s="76">
        <f t="shared" ref="AC73:AC79" si="59">SUM(D73:L73)</f>
        <v>67819</v>
      </c>
      <c r="AD73" s="75">
        <f t="shared" ref="AD73:AD79" si="60">AB73-AC73</f>
        <v>31922</v>
      </c>
      <c r="AE73" s="63"/>
      <c r="AF73" s="75">
        <f t="shared" ref="AF73:AF79" si="61">T73</f>
        <v>101324</v>
      </c>
      <c r="AG73" s="75">
        <f>AG9</f>
        <v>64319</v>
      </c>
      <c r="AH73" s="75">
        <f t="shared" ref="AH73:AH79" si="62">AF73-AG73</f>
        <v>37005</v>
      </c>
      <c r="AI73" s="63"/>
      <c r="AJ73" s="75">
        <f t="shared" ref="AJ73:AJ79" si="63">AC73-AG73</f>
        <v>3500</v>
      </c>
      <c r="AK73" s="75">
        <f t="shared" ref="AK73:AK79" si="64">AB73-AF73</f>
        <v>-1583</v>
      </c>
      <c r="AL73" s="63"/>
      <c r="AM73" s="75">
        <f>AM9</f>
        <v>104819</v>
      </c>
      <c r="AN73" s="75">
        <f t="shared" ref="AN73:AN79" si="65">AB73-AM73</f>
        <v>-5078</v>
      </c>
      <c r="AO73" s="63"/>
      <c r="AP73" s="75">
        <f>AP9</f>
        <v>66848</v>
      </c>
      <c r="AQ73" s="75">
        <f t="shared" ref="AQ73:AQ79" si="66">AC73-AP73</f>
        <v>971</v>
      </c>
      <c r="AR73" s="63"/>
      <c r="AS73" s="63"/>
      <c r="AT73" s="63"/>
      <c r="AU73" s="63"/>
    </row>
    <row r="74" spans="1:47">
      <c r="A74" s="100" t="s">
        <v>375</v>
      </c>
      <c r="B74" s="63"/>
      <c r="C74" s="63"/>
      <c r="D74" s="75">
        <f t="shared" ref="D74:O74" si="67">D11</f>
        <v>3841</v>
      </c>
      <c r="E74" s="75">
        <f t="shared" si="67"/>
        <v>3853</v>
      </c>
      <c r="F74" s="75">
        <f t="shared" si="67"/>
        <v>3900</v>
      </c>
      <c r="G74" s="75">
        <f t="shared" si="67"/>
        <v>3811</v>
      </c>
      <c r="H74" s="75">
        <f t="shared" si="67"/>
        <v>3755</v>
      </c>
      <c r="I74" s="75">
        <f t="shared" si="67"/>
        <v>3999</v>
      </c>
      <c r="J74" s="75">
        <f t="shared" si="67"/>
        <v>3851</v>
      </c>
      <c r="K74" s="75">
        <f t="shared" si="67"/>
        <v>3855</v>
      </c>
      <c r="L74" s="75">
        <f t="shared" si="67"/>
        <v>3900</v>
      </c>
      <c r="M74" s="75">
        <f t="shared" si="67"/>
        <v>5200</v>
      </c>
      <c r="N74" s="75">
        <f t="shared" si="67"/>
        <v>3950</v>
      </c>
      <c r="O74" s="75">
        <f t="shared" si="67"/>
        <v>4000</v>
      </c>
      <c r="P74" s="75">
        <f t="shared" si="55"/>
        <v>47915</v>
      </c>
      <c r="Q74" s="76">
        <f t="shared" si="56"/>
        <v>27010</v>
      </c>
      <c r="R74" s="75">
        <f t="shared" si="57"/>
        <v>20905</v>
      </c>
      <c r="S74" s="63"/>
      <c r="T74" s="75">
        <f t="shared" ref="T74:V76" si="68">T11</f>
        <v>49600</v>
      </c>
      <c r="U74" s="75">
        <f t="shared" si="68"/>
        <v>37947</v>
      </c>
      <c r="V74" s="75">
        <f t="shared" si="68"/>
        <v>11653</v>
      </c>
      <c r="W74" s="63"/>
      <c r="X74" s="63"/>
      <c r="Y74" s="63"/>
      <c r="Z74" s="63"/>
      <c r="AA74" s="63" t="str">
        <f t="shared" si="53"/>
        <v xml:space="preserve">      Depreciation, Depletion, and Amortization</v>
      </c>
      <c r="AB74" s="75">
        <f t="shared" si="58"/>
        <v>47915</v>
      </c>
      <c r="AC74" s="76">
        <f t="shared" si="59"/>
        <v>34765</v>
      </c>
      <c r="AD74" s="75">
        <f t="shared" si="60"/>
        <v>13150</v>
      </c>
      <c r="AE74" s="63"/>
      <c r="AF74" s="75">
        <f t="shared" si="61"/>
        <v>49600</v>
      </c>
      <c r="AG74" s="75">
        <f>AG11</f>
        <v>37947</v>
      </c>
      <c r="AH74" s="75">
        <f t="shared" si="62"/>
        <v>11653</v>
      </c>
      <c r="AI74" s="63"/>
      <c r="AJ74" s="75">
        <f t="shared" si="63"/>
        <v>-3182</v>
      </c>
      <c r="AK74" s="75">
        <f t="shared" si="64"/>
        <v>-1685</v>
      </c>
      <c r="AL74" s="63"/>
      <c r="AM74" s="75">
        <f>AM11</f>
        <v>48059</v>
      </c>
      <c r="AN74" s="75">
        <f t="shared" si="65"/>
        <v>-144</v>
      </c>
      <c r="AO74" s="63"/>
      <c r="AP74" s="75">
        <f>AP11</f>
        <v>35159</v>
      </c>
      <c r="AQ74" s="75">
        <f t="shared" si="66"/>
        <v>-394</v>
      </c>
      <c r="AR74" s="63"/>
      <c r="AS74" s="63"/>
      <c r="AT74" s="63"/>
      <c r="AU74" s="63"/>
    </row>
    <row r="75" spans="1:47">
      <c r="A75" s="100" t="s">
        <v>376</v>
      </c>
      <c r="B75" s="63"/>
      <c r="C75" s="63"/>
      <c r="D75" s="75">
        <f>D12</f>
        <v>0</v>
      </c>
      <c r="E75" s="75">
        <f t="shared" ref="E75:O75" si="69">E12</f>
        <v>0</v>
      </c>
      <c r="F75" s="75">
        <f t="shared" si="69"/>
        <v>0</v>
      </c>
      <c r="G75" s="75">
        <f t="shared" si="69"/>
        <v>0</v>
      </c>
      <c r="H75" s="75">
        <f t="shared" si="69"/>
        <v>0</v>
      </c>
      <c r="I75" s="75">
        <f t="shared" si="69"/>
        <v>0</v>
      </c>
      <c r="J75" s="75">
        <f t="shared" si="69"/>
        <v>0</v>
      </c>
      <c r="K75" s="75">
        <f t="shared" si="69"/>
        <v>0</v>
      </c>
      <c r="L75" s="75">
        <f t="shared" si="69"/>
        <v>0</v>
      </c>
      <c r="M75" s="75">
        <f t="shared" si="69"/>
        <v>0</v>
      </c>
      <c r="N75" s="75">
        <f t="shared" si="69"/>
        <v>0</v>
      </c>
      <c r="O75" s="75">
        <f t="shared" si="69"/>
        <v>0</v>
      </c>
      <c r="P75" s="75">
        <f t="shared" si="55"/>
        <v>0</v>
      </c>
      <c r="Q75" s="76">
        <f t="shared" si="56"/>
        <v>0</v>
      </c>
      <c r="R75" s="75">
        <f t="shared" si="57"/>
        <v>0</v>
      </c>
      <c r="S75" s="63"/>
      <c r="T75" s="75">
        <f t="shared" si="68"/>
        <v>0</v>
      </c>
      <c r="U75" s="75">
        <f t="shared" si="68"/>
        <v>0</v>
      </c>
      <c r="V75" s="75">
        <f t="shared" si="68"/>
        <v>0</v>
      </c>
      <c r="W75" s="63"/>
      <c r="X75" s="63"/>
      <c r="Y75" s="63"/>
      <c r="Z75" s="63"/>
      <c r="AA75" s="63" t="str">
        <f t="shared" si="53"/>
        <v xml:space="preserve">      Amortization of Contract Reformation Costs</v>
      </c>
      <c r="AB75" s="75">
        <f t="shared" si="58"/>
        <v>0</v>
      </c>
      <c r="AC75" s="76">
        <f t="shared" si="59"/>
        <v>0</v>
      </c>
      <c r="AD75" s="75">
        <f t="shared" si="60"/>
        <v>0</v>
      </c>
      <c r="AE75" s="63"/>
      <c r="AF75" s="75">
        <f t="shared" si="61"/>
        <v>0</v>
      </c>
      <c r="AG75" s="75">
        <f>AG12</f>
        <v>0</v>
      </c>
      <c r="AH75" s="75">
        <f t="shared" si="62"/>
        <v>0</v>
      </c>
      <c r="AI75" s="63"/>
      <c r="AJ75" s="75">
        <f t="shared" si="63"/>
        <v>0</v>
      </c>
      <c r="AK75" s="75">
        <f t="shared" si="64"/>
        <v>0</v>
      </c>
      <c r="AL75" s="63"/>
      <c r="AM75" s="75">
        <f>AM12</f>
        <v>0</v>
      </c>
      <c r="AN75" s="75">
        <f t="shared" si="65"/>
        <v>0</v>
      </c>
      <c r="AO75" s="63"/>
      <c r="AP75" s="75">
        <f>AP12</f>
        <v>0</v>
      </c>
      <c r="AQ75" s="75">
        <f t="shared" si="66"/>
        <v>0</v>
      </c>
      <c r="AR75" s="63"/>
      <c r="AS75" s="63"/>
      <c r="AT75" s="63"/>
      <c r="AU75" s="63"/>
    </row>
    <row r="76" spans="1:47">
      <c r="A76" s="106" t="s">
        <v>377</v>
      </c>
      <c r="B76" s="63"/>
      <c r="C76" s="63"/>
      <c r="D76" s="75">
        <f t="shared" ref="D76:O76" si="70">D13</f>
        <v>3262</v>
      </c>
      <c r="E76" s="75">
        <f t="shared" si="70"/>
        <v>150</v>
      </c>
      <c r="F76" s="75">
        <f t="shared" si="70"/>
        <v>-1147</v>
      </c>
      <c r="G76" s="75">
        <f t="shared" si="70"/>
        <v>23341</v>
      </c>
      <c r="H76" s="75">
        <f t="shared" si="70"/>
        <v>1575</v>
      </c>
      <c r="I76" s="75">
        <f t="shared" si="70"/>
        <v>-2983</v>
      </c>
      <c r="J76" s="75">
        <f t="shared" si="70"/>
        <v>860</v>
      </c>
      <c r="K76" s="75">
        <f t="shared" si="70"/>
        <v>3339</v>
      </c>
      <c r="L76" s="75">
        <f t="shared" si="70"/>
        <v>2207</v>
      </c>
      <c r="M76" s="75">
        <f t="shared" si="70"/>
        <v>-11814</v>
      </c>
      <c r="N76" s="75">
        <f t="shared" si="70"/>
        <v>-1321</v>
      </c>
      <c r="O76" s="75">
        <f t="shared" si="70"/>
        <v>659</v>
      </c>
      <c r="P76" s="75">
        <f t="shared" si="55"/>
        <v>18128</v>
      </c>
      <c r="Q76" s="76">
        <f t="shared" si="56"/>
        <v>25058</v>
      </c>
      <c r="R76" s="75">
        <f t="shared" si="57"/>
        <v>-6930</v>
      </c>
      <c r="S76" s="63"/>
      <c r="T76" s="75">
        <f t="shared" si="68"/>
        <v>7119</v>
      </c>
      <c r="U76" s="75">
        <f t="shared" si="68"/>
        <v>6786</v>
      </c>
      <c r="V76" s="75">
        <f t="shared" si="68"/>
        <v>333</v>
      </c>
      <c r="W76" s="63"/>
      <c r="X76" s="63"/>
      <c r="Y76" s="63"/>
      <c r="Z76" s="63"/>
      <c r="AA76" s="63" t="str">
        <f t="shared" si="53"/>
        <v xml:space="preserve">      Deferred Income Taxes - Noncurrent Only</v>
      </c>
      <c r="AB76" s="75">
        <f t="shared" si="58"/>
        <v>18128</v>
      </c>
      <c r="AC76" s="76">
        <f t="shared" si="59"/>
        <v>30604</v>
      </c>
      <c r="AD76" s="75">
        <f t="shared" si="60"/>
        <v>-12476</v>
      </c>
      <c r="AE76" s="63"/>
      <c r="AF76" s="75">
        <f t="shared" si="61"/>
        <v>7119</v>
      </c>
      <c r="AG76" s="75">
        <f>AG13</f>
        <v>6786</v>
      </c>
      <c r="AH76" s="75">
        <f t="shared" si="62"/>
        <v>333</v>
      </c>
      <c r="AI76" s="63"/>
      <c r="AJ76" s="75">
        <f t="shared" si="63"/>
        <v>23818</v>
      </c>
      <c r="AK76" s="75">
        <f t="shared" si="64"/>
        <v>11009</v>
      </c>
      <c r="AL76" s="63"/>
      <c r="AM76" s="75">
        <f>AM13</f>
        <v>16432</v>
      </c>
      <c r="AN76" s="75">
        <f t="shared" si="65"/>
        <v>1696</v>
      </c>
      <c r="AO76" s="63"/>
      <c r="AP76" s="75">
        <f>AP13</f>
        <v>28314</v>
      </c>
      <c r="AQ76" s="75">
        <f t="shared" si="66"/>
        <v>2290</v>
      </c>
      <c r="AR76" s="63"/>
      <c r="AS76" s="63"/>
      <c r="AT76" s="63"/>
      <c r="AU76" s="63"/>
    </row>
    <row r="77" spans="1:47">
      <c r="A77" s="100" t="s">
        <v>378</v>
      </c>
      <c r="B77" s="63"/>
      <c r="C77" s="63"/>
      <c r="D77" s="76">
        <v>0</v>
      </c>
      <c r="E77" s="76">
        <v>0</v>
      </c>
      <c r="F77" s="76">
        <v>0</v>
      </c>
      <c r="G77" s="76">
        <v>0</v>
      </c>
      <c r="H77" s="76">
        <v>0</v>
      </c>
      <c r="I77" s="76">
        <v>0</v>
      </c>
      <c r="J77" s="76">
        <v>0</v>
      </c>
      <c r="K77" s="76">
        <v>0</v>
      </c>
      <c r="L77" s="76">
        <v>0</v>
      </c>
      <c r="M77" s="76">
        <v>0</v>
      </c>
      <c r="N77" s="76">
        <v>0</v>
      </c>
      <c r="O77" s="76">
        <v>0</v>
      </c>
      <c r="P77" s="75">
        <f t="shared" si="55"/>
        <v>0</v>
      </c>
      <c r="Q77" s="76">
        <f t="shared" si="56"/>
        <v>0</v>
      </c>
      <c r="R77" s="75">
        <f t="shared" si="57"/>
        <v>0</v>
      </c>
      <c r="S77" s="63"/>
      <c r="T77" s="76">
        <v>0</v>
      </c>
      <c r="U77" s="76">
        <v>0</v>
      </c>
      <c r="V77" s="76">
        <v>0</v>
      </c>
      <c r="W77" s="63"/>
      <c r="X77" s="63"/>
      <c r="Y77" s="63"/>
      <c r="Z77" s="63"/>
      <c r="AA77" s="63" t="str">
        <f t="shared" si="53"/>
        <v xml:space="preserve">      Deferred Revenue</v>
      </c>
      <c r="AB77" s="75">
        <f t="shared" si="58"/>
        <v>0</v>
      </c>
      <c r="AC77" s="76">
        <f t="shared" si="59"/>
        <v>0</v>
      </c>
      <c r="AD77" s="75">
        <f t="shared" si="60"/>
        <v>0</v>
      </c>
      <c r="AE77" s="63"/>
      <c r="AF77" s="75">
        <f t="shared" si="61"/>
        <v>0</v>
      </c>
      <c r="AG77" s="76">
        <v>0</v>
      </c>
      <c r="AH77" s="75">
        <f t="shared" si="62"/>
        <v>0</v>
      </c>
      <c r="AI77" s="63"/>
      <c r="AJ77" s="75">
        <f t="shared" si="63"/>
        <v>0</v>
      </c>
      <c r="AK77" s="75">
        <f t="shared" si="64"/>
        <v>0</v>
      </c>
      <c r="AL77" s="63"/>
      <c r="AM77" s="76">
        <v>0</v>
      </c>
      <c r="AN77" s="75">
        <f t="shared" si="65"/>
        <v>0</v>
      </c>
      <c r="AO77" s="63"/>
      <c r="AP77" s="76">
        <v>0</v>
      </c>
      <c r="AQ77" s="75">
        <f t="shared" si="66"/>
        <v>0</v>
      </c>
      <c r="AR77" s="63"/>
      <c r="AS77" s="63"/>
      <c r="AT77" s="63"/>
      <c r="AU77" s="63"/>
    </row>
    <row r="78" spans="1:47">
      <c r="A78" s="100" t="s">
        <v>379</v>
      </c>
      <c r="B78" s="63"/>
      <c r="C78" s="63"/>
      <c r="D78" s="164">
        <f>D29</f>
        <v>-483</v>
      </c>
      <c r="E78" s="164">
        <f t="shared" ref="E78:O78" si="71">E29</f>
        <v>75</v>
      </c>
      <c r="F78" s="164">
        <f t="shared" si="71"/>
        <v>62</v>
      </c>
      <c r="G78" s="164">
        <f t="shared" si="71"/>
        <v>153</v>
      </c>
      <c r="H78" s="164">
        <f t="shared" si="71"/>
        <v>141</v>
      </c>
      <c r="I78" s="164">
        <f t="shared" si="71"/>
        <v>138</v>
      </c>
      <c r="J78" s="164">
        <f t="shared" si="71"/>
        <v>717</v>
      </c>
      <c r="K78" s="164">
        <f t="shared" si="71"/>
        <v>0</v>
      </c>
      <c r="L78" s="164">
        <f t="shared" si="71"/>
        <v>0</v>
      </c>
      <c r="M78" s="164">
        <f t="shared" si="71"/>
        <v>0</v>
      </c>
      <c r="N78" s="164">
        <f t="shared" si="71"/>
        <v>0</v>
      </c>
      <c r="O78" s="164">
        <f t="shared" si="71"/>
        <v>0</v>
      </c>
      <c r="P78" s="75">
        <f t="shared" si="55"/>
        <v>803</v>
      </c>
      <c r="Q78" s="76">
        <f t="shared" si="56"/>
        <v>803</v>
      </c>
      <c r="R78" s="75">
        <f t="shared" si="57"/>
        <v>0</v>
      </c>
      <c r="S78" s="63"/>
      <c r="T78" s="164">
        <f>T29</f>
        <v>0</v>
      </c>
      <c r="U78" s="164">
        <f>U29</f>
        <v>0</v>
      </c>
      <c r="V78" s="164">
        <f>V29</f>
        <v>0</v>
      </c>
      <c r="W78" s="63"/>
      <c r="X78" s="63"/>
      <c r="Y78" s="63"/>
      <c r="Z78" s="63"/>
      <c r="AA78" s="63" t="str">
        <f t="shared" si="53"/>
        <v xml:space="preserve">      Unrealized (Gain) / Loss on Price Risk Mgmt Activities</v>
      </c>
      <c r="AB78" s="75">
        <f t="shared" si="58"/>
        <v>803</v>
      </c>
      <c r="AC78" s="76">
        <f t="shared" si="59"/>
        <v>803</v>
      </c>
      <c r="AD78" s="75">
        <f t="shared" si="60"/>
        <v>0</v>
      </c>
      <c r="AE78" s="63"/>
      <c r="AF78" s="75">
        <f t="shared" si="61"/>
        <v>0</v>
      </c>
      <c r="AG78" s="75">
        <f>AG29</f>
        <v>0</v>
      </c>
      <c r="AH78" s="75">
        <f t="shared" si="62"/>
        <v>0</v>
      </c>
      <c r="AI78" s="63"/>
      <c r="AJ78" s="75">
        <f t="shared" si="63"/>
        <v>803</v>
      </c>
      <c r="AK78" s="75">
        <f t="shared" si="64"/>
        <v>803</v>
      </c>
      <c r="AL78" s="63"/>
      <c r="AM78" s="75">
        <f>AM29</f>
        <v>86</v>
      </c>
      <c r="AN78" s="75">
        <f t="shared" si="65"/>
        <v>717</v>
      </c>
      <c r="AO78" s="63"/>
      <c r="AP78" s="75">
        <f>AP29</f>
        <v>86</v>
      </c>
      <c r="AQ78" s="75">
        <f t="shared" si="66"/>
        <v>717</v>
      </c>
      <c r="AR78" s="63"/>
      <c r="AS78" s="63"/>
      <c r="AT78" s="63"/>
      <c r="AU78" s="63"/>
    </row>
    <row r="79" spans="1:47">
      <c r="A79" s="100" t="s">
        <v>380</v>
      </c>
      <c r="B79" s="63"/>
      <c r="C79" s="63"/>
      <c r="D79" s="99">
        <v>0</v>
      </c>
      <c r="E79" s="99">
        <v>0</v>
      </c>
      <c r="F79" s="99">
        <v>0</v>
      </c>
      <c r="G79" s="99">
        <v>0</v>
      </c>
      <c r="H79" s="99">
        <v>0</v>
      </c>
      <c r="I79" s="99">
        <v>0</v>
      </c>
      <c r="J79" s="99">
        <v>0</v>
      </c>
      <c r="K79" s="99">
        <v>0</v>
      </c>
      <c r="L79" s="99">
        <v>0</v>
      </c>
      <c r="M79" s="99">
        <v>0</v>
      </c>
      <c r="N79" s="99">
        <v>0</v>
      </c>
      <c r="O79" s="99">
        <v>0</v>
      </c>
      <c r="P79" s="80">
        <f t="shared" si="55"/>
        <v>0</v>
      </c>
      <c r="Q79" s="99">
        <f t="shared" si="56"/>
        <v>0</v>
      </c>
      <c r="R79" s="80">
        <f t="shared" si="57"/>
        <v>0</v>
      </c>
      <c r="S79" s="63"/>
      <c r="T79" s="99">
        <v>0</v>
      </c>
      <c r="U79" s="99">
        <v>0</v>
      </c>
      <c r="V79" s="99">
        <v>0</v>
      </c>
      <c r="W79" s="63"/>
      <c r="X79" s="63"/>
      <c r="Y79" s="63"/>
      <c r="Z79" s="63"/>
      <c r="AA79" s="63" t="str">
        <f t="shared" si="53"/>
        <v xml:space="preserve">      Oil &amp; Gas Exploration Expenses</v>
      </c>
      <c r="AB79" s="80">
        <f t="shared" si="58"/>
        <v>0</v>
      </c>
      <c r="AC79" s="99">
        <f t="shared" si="59"/>
        <v>0</v>
      </c>
      <c r="AD79" s="80">
        <f t="shared" si="60"/>
        <v>0</v>
      </c>
      <c r="AE79" s="63"/>
      <c r="AF79" s="80">
        <f t="shared" si="61"/>
        <v>0</v>
      </c>
      <c r="AG79" s="99">
        <v>0</v>
      </c>
      <c r="AH79" s="80">
        <f t="shared" si="62"/>
        <v>0</v>
      </c>
      <c r="AI79" s="63"/>
      <c r="AJ79" s="80">
        <f t="shared" si="63"/>
        <v>0</v>
      </c>
      <c r="AK79" s="80">
        <f t="shared" si="64"/>
        <v>0</v>
      </c>
      <c r="AL79" s="63"/>
      <c r="AM79" s="99">
        <v>0</v>
      </c>
      <c r="AN79" s="80">
        <f t="shared" si="65"/>
        <v>0</v>
      </c>
      <c r="AO79" s="63"/>
      <c r="AP79" s="79">
        <v>0</v>
      </c>
      <c r="AQ79" s="80">
        <f t="shared" si="66"/>
        <v>0</v>
      </c>
      <c r="AR79" s="63"/>
      <c r="AS79" s="63"/>
      <c r="AT79" s="63"/>
      <c r="AU79" s="63"/>
    </row>
    <row r="80" spans="1:47" ht="3.95" customHeight="1">
      <c r="A80" s="9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0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</row>
    <row r="81" spans="1:47">
      <c r="A81" s="100" t="s">
        <v>381</v>
      </c>
      <c r="B81" s="63"/>
      <c r="C81" s="63"/>
      <c r="D81" s="75">
        <f t="shared" ref="D81:R81" si="72">SUM(D73:D79)</f>
        <v>26254</v>
      </c>
      <c r="E81" s="75">
        <f t="shared" si="72"/>
        <v>22863</v>
      </c>
      <c r="F81" s="75">
        <f t="shared" si="72"/>
        <v>20510</v>
      </c>
      <c r="G81" s="75">
        <f t="shared" si="72"/>
        <v>30384</v>
      </c>
      <c r="H81" s="75">
        <f t="shared" si="72"/>
        <v>6463</v>
      </c>
      <c r="I81" s="75">
        <f t="shared" si="72"/>
        <v>4120</v>
      </c>
      <c r="J81" s="75">
        <f t="shared" si="72"/>
        <v>6976</v>
      </c>
      <c r="K81" s="75">
        <f t="shared" si="72"/>
        <v>9668</v>
      </c>
      <c r="L81" s="75">
        <f t="shared" si="72"/>
        <v>6753</v>
      </c>
      <c r="M81" s="75">
        <f t="shared" si="72"/>
        <v>-7799</v>
      </c>
      <c r="N81" s="75">
        <f t="shared" si="72"/>
        <v>18980</v>
      </c>
      <c r="O81" s="75">
        <f t="shared" si="72"/>
        <v>21415</v>
      </c>
      <c r="P81" s="75">
        <f t="shared" si="72"/>
        <v>166587</v>
      </c>
      <c r="Q81" s="75">
        <f t="shared" si="72"/>
        <v>117570</v>
      </c>
      <c r="R81" s="75">
        <f t="shared" si="72"/>
        <v>49017</v>
      </c>
      <c r="S81" s="63"/>
      <c r="T81" s="75">
        <f>SUM(T73:T79)</f>
        <v>158043</v>
      </c>
      <c r="U81" s="75">
        <f>SUM(U73:U79)</f>
        <v>109052</v>
      </c>
      <c r="V81" s="75">
        <f>SUM(V73:V79)</f>
        <v>48991</v>
      </c>
      <c r="W81" s="63"/>
      <c r="X81" s="63"/>
      <c r="Y81" s="63"/>
      <c r="Z81" s="63"/>
      <c r="AA81" s="63" t="str">
        <f>A81</f>
        <v xml:space="preserve">            Total Cash Flow From Operations</v>
      </c>
      <c r="AB81" s="75">
        <f>SUM(AB73:AB79)</f>
        <v>166587</v>
      </c>
      <c r="AC81" s="75">
        <f>SUM(AC73:AC79)</f>
        <v>133991</v>
      </c>
      <c r="AD81" s="75">
        <f>SUM(AD73:AD79)</f>
        <v>32596</v>
      </c>
      <c r="AE81" s="63"/>
      <c r="AF81" s="75">
        <f>SUM(AF73:AF79)</f>
        <v>158043</v>
      </c>
      <c r="AG81" s="75">
        <f>SUM(AG73:AG79)</f>
        <v>109052</v>
      </c>
      <c r="AH81" s="75">
        <f>SUM(AH73:AH79)</f>
        <v>48991</v>
      </c>
      <c r="AI81" s="63"/>
      <c r="AJ81" s="75">
        <f>SUM(AJ73:AJ79)</f>
        <v>24939</v>
      </c>
      <c r="AK81" s="75">
        <f>SUM(AK73:AK79)</f>
        <v>8544</v>
      </c>
      <c r="AL81" s="63"/>
      <c r="AM81" s="75">
        <f>SUM(AM73:AM79)</f>
        <v>169396</v>
      </c>
      <c r="AN81" s="75">
        <f>SUM(AN73:AN79)</f>
        <v>-2809</v>
      </c>
      <c r="AO81" s="63"/>
      <c r="AP81" s="75">
        <f>SUM(AP73:AP79)</f>
        <v>130407</v>
      </c>
      <c r="AQ81" s="75">
        <f>SUM(AQ73:AQ79)</f>
        <v>3584</v>
      </c>
      <c r="AR81" s="63"/>
      <c r="AS81" s="63"/>
      <c r="AT81" s="63"/>
      <c r="AU81" s="63"/>
    </row>
    <row r="82" spans="1:47" ht="6" customHeight="1">
      <c r="A82" s="9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</row>
    <row r="83" spans="1:47">
      <c r="A83" s="100" t="s">
        <v>382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 t="str">
        <f t="shared" ref="AA83:AA92" si="73">A83</f>
        <v>Working Capital Changes</v>
      </c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</row>
    <row r="84" spans="1:47">
      <c r="A84" s="100" t="s">
        <v>383</v>
      </c>
      <c r="B84" s="63"/>
      <c r="C84" s="63"/>
      <c r="D84" s="76">
        <v>0</v>
      </c>
      <c r="E84" s="76">
        <v>0</v>
      </c>
      <c r="F84" s="76">
        <v>0</v>
      </c>
      <c r="G84" s="76">
        <v>0</v>
      </c>
      <c r="H84" s="76">
        <v>0</v>
      </c>
      <c r="I84" s="76">
        <v>0</v>
      </c>
      <c r="J84" s="76">
        <v>0</v>
      </c>
      <c r="K84" s="76">
        <v>0</v>
      </c>
      <c r="L84" s="76">
        <v>0</v>
      </c>
      <c r="M84" s="76">
        <v>0</v>
      </c>
      <c r="N84" s="76">
        <v>0</v>
      </c>
      <c r="O84" s="76">
        <v>0</v>
      </c>
      <c r="P84" s="75">
        <f t="shared" ref="P84:P92" si="74">SUM(D84:O84)</f>
        <v>0</v>
      </c>
      <c r="Q84" s="76">
        <f t="shared" ref="Q84:Q92" si="75">SUM(D84:J84)</f>
        <v>0</v>
      </c>
      <c r="R84" s="75">
        <f t="shared" ref="R84:R92" si="76">P84-Q84</f>
        <v>0</v>
      </c>
      <c r="S84" s="63"/>
      <c r="T84" s="76">
        <v>0</v>
      </c>
      <c r="U84" s="76">
        <v>0</v>
      </c>
      <c r="V84" s="76">
        <v>0</v>
      </c>
      <c r="W84" s="63"/>
      <c r="X84" s="63"/>
      <c r="Y84" s="63"/>
      <c r="Z84" s="63"/>
      <c r="AA84" s="63" t="str">
        <f t="shared" si="73"/>
        <v xml:space="preserve">      Accrued Income Taxes</v>
      </c>
      <c r="AB84" s="75">
        <f t="shared" ref="AB84:AB92" si="77">P84</f>
        <v>0</v>
      </c>
      <c r="AC84" s="76">
        <f t="shared" ref="AC84:AC92" si="78">SUM(D84:L84)</f>
        <v>0</v>
      </c>
      <c r="AD84" s="75">
        <f t="shared" ref="AD84:AD92" si="79">AB84-AC84</f>
        <v>0</v>
      </c>
      <c r="AE84" s="63"/>
      <c r="AF84" s="75">
        <f t="shared" ref="AF84:AF92" si="80">T84</f>
        <v>0</v>
      </c>
      <c r="AG84" s="76">
        <v>0</v>
      </c>
      <c r="AH84" s="75">
        <f t="shared" ref="AH84:AH92" si="81">AF84-AG84</f>
        <v>0</v>
      </c>
      <c r="AI84" s="63"/>
      <c r="AJ84" s="75">
        <f t="shared" ref="AJ84:AJ92" si="82">AC84-AG84</f>
        <v>0</v>
      </c>
      <c r="AK84" s="75">
        <f t="shared" ref="AK84:AK92" si="83">AB84-AF84</f>
        <v>0</v>
      </c>
      <c r="AL84" s="63"/>
      <c r="AM84" s="76">
        <v>0</v>
      </c>
      <c r="AN84" s="75">
        <f t="shared" ref="AN84:AN92" si="84">AB84-AM84</f>
        <v>0</v>
      </c>
      <c r="AO84" s="63"/>
      <c r="AP84" s="76">
        <v>0</v>
      </c>
      <c r="AQ84" s="75">
        <f t="shared" ref="AQ84:AQ92" si="85">AC84-AP84</f>
        <v>0</v>
      </c>
      <c r="AR84" s="63"/>
      <c r="AS84" s="63"/>
      <c r="AT84" s="63"/>
      <c r="AU84" s="63"/>
    </row>
    <row r="85" spans="1:47">
      <c r="A85" s="100" t="s">
        <v>384</v>
      </c>
      <c r="B85" s="63"/>
      <c r="C85" s="63"/>
      <c r="D85" s="76">
        <v>0</v>
      </c>
      <c r="E85" s="76">
        <v>0</v>
      </c>
      <c r="F85" s="76">
        <v>0</v>
      </c>
      <c r="G85" s="76">
        <v>0</v>
      </c>
      <c r="H85" s="76">
        <v>0</v>
      </c>
      <c r="I85" s="76">
        <v>0</v>
      </c>
      <c r="J85" s="76">
        <v>0</v>
      </c>
      <c r="K85" s="76">
        <v>0</v>
      </c>
      <c r="L85" s="76">
        <v>0</v>
      </c>
      <c r="M85" s="76">
        <v>0</v>
      </c>
      <c r="N85" s="76">
        <v>0</v>
      </c>
      <c r="O85" s="76">
        <v>0</v>
      </c>
      <c r="P85" s="75">
        <f t="shared" si="74"/>
        <v>0</v>
      </c>
      <c r="Q85" s="76">
        <f t="shared" si="75"/>
        <v>0</v>
      </c>
      <c r="R85" s="75">
        <f t="shared" si="76"/>
        <v>0</v>
      </c>
      <c r="S85" s="63"/>
      <c r="T85" s="76">
        <v>0</v>
      </c>
      <c r="U85" s="76">
        <v>0</v>
      </c>
      <c r="V85" s="76">
        <v>0</v>
      </c>
      <c r="W85" s="63"/>
      <c r="X85" s="63"/>
      <c r="Y85" s="63"/>
      <c r="Z85" s="63"/>
      <c r="AA85" s="63" t="str">
        <f t="shared" si="73"/>
        <v xml:space="preserve">      Tax Refunds / Payments</v>
      </c>
      <c r="AB85" s="75">
        <f t="shared" si="77"/>
        <v>0</v>
      </c>
      <c r="AC85" s="76">
        <f t="shared" si="78"/>
        <v>0</v>
      </c>
      <c r="AD85" s="75">
        <f t="shared" si="79"/>
        <v>0</v>
      </c>
      <c r="AE85" s="63"/>
      <c r="AF85" s="75">
        <f t="shared" si="80"/>
        <v>0</v>
      </c>
      <c r="AG85" s="76">
        <v>0</v>
      </c>
      <c r="AH85" s="75">
        <f t="shared" si="81"/>
        <v>0</v>
      </c>
      <c r="AI85" s="63"/>
      <c r="AJ85" s="75">
        <f t="shared" si="82"/>
        <v>0</v>
      </c>
      <c r="AK85" s="75">
        <f t="shared" si="83"/>
        <v>0</v>
      </c>
      <c r="AL85" s="63"/>
      <c r="AM85" s="76">
        <v>0</v>
      </c>
      <c r="AN85" s="75">
        <f t="shared" si="84"/>
        <v>0</v>
      </c>
      <c r="AO85" s="63"/>
      <c r="AP85" s="76">
        <v>0</v>
      </c>
      <c r="AQ85" s="75">
        <f t="shared" si="85"/>
        <v>0</v>
      </c>
      <c r="AR85" s="63"/>
      <c r="AS85" s="63"/>
      <c r="AT85" s="63"/>
      <c r="AU85" s="63"/>
    </row>
    <row r="86" spans="1:47">
      <c r="A86" s="100" t="s">
        <v>385</v>
      </c>
      <c r="B86" s="63"/>
      <c r="C86" s="63"/>
      <c r="D86" s="75">
        <f>SUM(D16:D26)</f>
        <v>52965</v>
      </c>
      <c r="E86" s="75">
        <f>SUM(E16:E26)</f>
        <v>-44067</v>
      </c>
      <c r="F86" s="75">
        <f t="shared" ref="F86:O86" si="86">SUM(F16:F26)</f>
        <v>-6731</v>
      </c>
      <c r="G86" s="75">
        <f t="shared" si="86"/>
        <v>12272</v>
      </c>
      <c r="H86" s="75">
        <f t="shared" si="86"/>
        <v>218</v>
      </c>
      <c r="I86" s="75">
        <f t="shared" si="86"/>
        <v>-17032</v>
      </c>
      <c r="J86" s="75">
        <f t="shared" si="86"/>
        <v>5381</v>
      </c>
      <c r="K86" s="75">
        <f t="shared" si="86"/>
        <v>8364</v>
      </c>
      <c r="L86" s="75">
        <f t="shared" si="86"/>
        <v>-1428</v>
      </c>
      <c r="M86" s="75">
        <f t="shared" si="86"/>
        <v>329</v>
      </c>
      <c r="N86" s="75">
        <f t="shared" si="86"/>
        <v>-32511</v>
      </c>
      <c r="O86" s="75">
        <f t="shared" si="86"/>
        <v>-21766</v>
      </c>
      <c r="P86" s="75">
        <f t="shared" si="74"/>
        <v>-44006</v>
      </c>
      <c r="Q86" s="76">
        <f t="shared" si="75"/>
        <v>3006</v>
      </c>
      <c r="R86" s="75">
        <f t="shared" si="76"/>
        <v>-47012</v>
      </c>
      <c r="S86" s="63"/>
      <c r="T86" s="75">
        <f>SUM(T16:T26)</f>
        <v>-21109</v>
      </c>
      <c r="U86" s="75">
        <f>SUM(U16:U26)</f>
        <v>20466</v>
      </c>
      <c r="V86" s="75">
        <f>SUM(V16:V26)</f>
        <v>-41575</v>
      </c>
      <c r="W86" s="63"/>
      <c r="X86" s="63"/>
      <c r="Y86" s="63"/>
      <c r="Z86" s="63"/>
      <c r="AA86" s="63" t="str">
        <f t="shared" si="73"/>
        <v xml:space="preserve">      Others, Net </v>
      </c>
      <c r="AB86" s="75">
        <f t="shared" si="77"/>
        <v>-44006</v>
      </c>
      <c r="AC86" s="76">
        <f t="shared" si="78"/>
        <v>9942</v>
      </c>
      <c r="AD86" s="75">
        <f t="shared" si="79"/>
        <v>-53948</v>
      </c>
      <c r="AE86" s="63"/>
      <c r="AF86" s="75">
        <f t="shared" si="80"/>
        <v>-21109</v>
      </c>
      <c r="AG86" s="75">
        <f>SUM(AG16:AG26)</f>
        <v>20466</v>
      </c>
      <c r="AH86" s="75">
        <f t="shared" si="81"/>
        <v>-41575</v>
      </c>
      <c r="AI86" s="63"/>
      <c r="AJ86" s="75">
        <f t="shared" si="82"/>
        <v>-10524</v>
      </c>
      <c r="AK86" s="75">
        <f t="shared" si="83"/>
        <v>-22897</v>
      </c>
      <c r="AL86" s="63"/>
      <c r="AM86" s="75">
        <f>SUM(AM16:AM26)</f>
        <v>-35721</v>
      </c>
      <c r="AN86" s="75">
        <f t="shared" si="84"/>
        <v>-8285</v>
      </c>
      <c r="AO86" s="63"/>
      <c r="AP86" s="75">
        <f>SUM(AP16:AP26)</f>
        <v>14102</v>
      </c>
      <c r="AQ86" s="75">
        <f t="shared" si="85"/>
        <v>-4160</v>
      </c>
      <c r="AR86" s="63"/>
      <c r="AS86" s="63"/>
      <c r="AT86" s="63"/>
      <c r="AU86" s="63"/>
    </row>
    <row r="87" spans="1:47">
      <c r="A87" s="100" t="s">
        <v>386</v>
      </c>
      <c r="B87" s="63"/>
      <c r="C87" s="63"/>
      <c r="D87" s="75">
        <f t="shared" ref="D87:O87" si="87">D30</f>
        <v>-525</v>
      </c>
      <c r="E87" s="75">
        <f t="shared" si="87"/>
        <v>-329</v>
      </c>
      <c r="F87" s="75">
        <f t="shared" si="87"/>
        <v>-313</v>
      </c>
      <c r="G87" s="75">
        <f t="shared" si="87"/>
        <v>-1284</v>
      </c>
      <c r="H87" s="75">
        <f t="shared" si="87"/>
        <v>-318</v>
      </c>
      <c r="I87" s="75">
        <f t="shared" si="87"/>
        <v>-436</v>
      </c>
      <c r="J87" s="75">
        <f t="shared" si="87"/>
        <v>-335</v>
      </c>
      <c r="K87" s="75">
        <f t="shared" si="87"/>
        <v>-270</v>
      </c>
      <c r="L87" s="75">
        <f t="shared" si="87"/>
        <v>-324</v>
      </c>
      <c r="M87" s="75">
        <f t="shared" si="87"/>
        <v>-325</v>
      </c>
      <c r="N87" s="75">
        <f t="shared" si="87"/>
        <v>-342</v>
      </c>
      <c r="O87" s="75">
        <f t="shared" si="87"/>
        <v>-16</v>
      </c>
      <c r="P87" s="75">
        <f t="shared" si="74"/>
        <v>-4817</v>
      </c>
      <c r="Q87" s="76">
        <f t="shared" si="75"/>
        <v>-3540</v>
      </c>
      <c r="R87" s="75">
        <f t="shared" si="76"/>
        <v>-1277</v>
      </c>
      <c r="S87" s="63"/>
      <c r="T87" s="75">
        <f t="shared" ref="T87:V88" si="88">T30</f>
        <v>-3693</v>
      </c>
      <c r="U87" s="75">
        <f t="shared" si="88"/>
        <v>-3010</v>
      </c>
      <c r="V87" s="75">
        <f t="shared" si="88"/>
        <v>-683</v>
      </c>
      <c r="W87" s="63"/>
      <c r="X87" s="63"/>
      <c r="Y87" s="63"/>
      <c r="Z87" s="63"/>
      <c r="AA87" s="63" t="str">
        <f t="shared" si="73"/>
        <v>Equity Earnings</v>
      </c>
      <c r="AB87" s="75">
        <f t="shared" si="77"/>
        <v>-4817</v>
      </c>
      <c r="AC87" s="76">
        <f t="shared" si="78"/>
        <v>-4134</v>
      </c>
      <c r="AD87" s="75">
        <f t="shared" si="79"/>
        <v>-683</v>
      </c>
      <c r="AE87" s="63"/>
      <c r="AF87" s="75">
        <f t="shared" si="80"/>
        <v>-3693</v>
      </c>
      <c r="AG87" s="75">
        <f>AG30</f>
        <v>-3010</v>
      </c>
      <c r="AH87" s="75">
        <f t="shared" si="81"/>
        <v>-683</v>
      </c>
      <c r="AI87" s="63"/>
      <c r="AJ87" s="75">
        <f t="shared" si="82"/>
        <v>-1124</v>
      </c>
      <c r="AK87" s="75">
        <f t="shared" si="83"/>
        <v>-1124</v>
      </c>
      <c r="AL87" s="63"/>
      <c r="AM87" s="75">
        <f>AM30</f>
        <v>-4840</v>
      </c>
      <c r="AN87" s="75">
        <f t="shared" si="84"/>
        <v>23</v>
      </c>
      <c r="AO87" s="63"/>
      <c r="AP87" s="75">
        <f>AP30</f>
        <v>-4157</v>
      </c>
      <c r="AQ87" s="75">
        <f t="shared" si="85"/>
        <v>23</v>
      </c>
      <c r="AR87" s="63"/>
      <c r="AS87" s="63"/>
      <c r="AT87" s="63"/>
      <c r="AU87" s="63"/>
    </row>
    <row r="88" spans="1:47">
      <c r="A88" s="100" t="s">
        <v>387</v>
      </c>
      <c r="B88" s="63"/>
      <c r="C88" s="63"/>
      <c r="D88" s="75">
        <f t="shared" ref="D88:O88" si="89">D31</f>
        <v>0</v>
      </c>
      <c r="E88" s="75">
        <f t="shared" si="89"/>
        <v>0</v>
      </c>
      <c r="F88" s="75">
        <f t="shared" si="89"/>
        <v>800</v>
      </c>
      <c r="G88" s="75">
        <f t="shared" si="89"/>
        <v>0</v>
      </c>
      <c r="H88" s="75">
        <f t="shared" si="89"/>
        <v>0</v>
      </c>
      <c r="I88" s="75">
        <f t="shared" si="89"/>
        <v>3800</v>
      </c>
      <c r="J88" s="75">
        <f t="shared" si="89"/>
        <v>0</v>
      </c>
      <c r="K88" s="75">
        <f t="shared" si="89"/>
        <v>2000</v>
      </c>
      <c r="L88" s="75">
        <f t="shared" si="89"/>
        <v>800</v>
      </c>
      <c r="M88" s="75">
        <f t="shared" si="89"/>
        <v>0</v>
      </c>
      <c r="N88" s="75">
        <f t="shared" si="89"/>
        <v>0</v>
      </c>
      <c r="O88" s="75">
        <f t="shared" si="89"/>
        <v>800</v>
      </c>
      <c r="P88" s="75">
        <f t="shared" si="74"/>
        <v>8200</v>
      </c>
      <c r="Q88" s="76">
        <f t="shared" si="75"/>
        <v>4600</v>
      </c>
      <c r="R88" s="75">
        <f t="shared" si="76"/>
        <v>3600</v>
      </c>
      <c r="S88" s="63"/>
      <c r="T88" s="75">
        <f t="shared" si="88"/>
        <v>3200</v>
      </c>
      <c r="U88" s="75">
        <f t="shared" si="88"/>
        <v>2400</v>
      </c>
      <c r="V88" s="75">
        <f t="shared" si="88"/>
        <v>800</v>
      </c>
      <c r="W88" s="63"/>
      <c r="X88" s="63"/>
      <c r="Y88" s="63"/>
      <c r="Z88" s="63"/>
      <c r="AA88" s="63" t="str">
        <f t="shared" si="73"/>
        <v>Equity / Partnership Distributions</v>
      </c>
      <c r="AB88" s="75">
        <f t="shared" si="77"/>
        <v>8200</v>
      </c>
      <c r="AC88" s="76">
        <f t="shared" si="78"/>
        <v>7400</v>
      </c>
      <c r="AD88" s="75">
        <f t="shared" si="79"/>
        <v>800</v>
      </c>
      <c r="AE88" s="63"/>
      <c r="AF88" s="75">
        <f t="shared" si="80"/>
        <v>3200</v>
      </c>
      <c r="AG88" s="75">
        <f>AG31</f>
        <v>2400</v>
      </c>
      <c r="AH88" s="75">
        <f t="shared" si="81"/>
        <v>800</v>
      </c>
      <c r="AI88" s="63"/>
      <c r="AJ88" s="75">
        <f t="shared" si="82"/>
        <v>5000</v>
      </c>
      <c r="AK88" s="75">
        <f t="shared" si="83"/>
        <v>5000</v>
      </c>
      <c r="AL88" s="63"/>
      <c r="AM88" s="75">
        <f>AM31</f>
        <v>6200</v>
      </c>
      <c r="AN88" s="75">
        <f t="shared" si="84"/>
        <v>2000</v>
      </c>
      <c r="AO88" s="63"/>
      <c r="AP88" s="75">
        <f>AP31</f>
        <v>5400</v>
      </c>
      <c r="AQ88" s="75">
        <f t="shared" si="85"/>
        <v>2000</v>
      </c>
      <c r="AR88" s="63"/>
      <c r="AS88" s="63"/>
      <c r="AT88" s="63"/>
      <c r="AU88" s="63"/>
    </row>
    <row r="89" spans="1:47">
      <c r="A89" s="100" t="s">
        <v>388</v>
      </c>
      <c r="B89" s="63"/>
      <c r="C89" s="63"/>
      <c r="D89" s="75">
        <f t="shared" ref="D89:O89" si="90">D39</f>
        <v>0</v>
      </c>
      <c r="E89" s="75">
        <f t="shared" si="90"/>
        <v>0</v>
      </c>
      <c r="F89" s="75">
        <f t="shared" si="90"/>
        <v>0</v>
      </c>
      <c r="G89" s="75">
        <f t="shared" si="90"/>
        <v>0</v>
      </c>
      <c r="H89" s="75">
        <f t="shared" si="90"/>
        <v>0</v>
      </c>
      <c r="I89" s="75">
        <f t="shared" si="90"/>
        <v>3353</v>
      </c>
      <c r="J89" s="75">
        <f t="shared" si="90"/>
        <v>0</v>
      </c>
      <c r="K89" s="75">
        <f t="shared" si="90"/>
        <v>0</v>
      </c>
      <c r="L89" s="75">
        <f t="shared" si="90"/>
        <v>0</v>
      </c>
      <c r="M89" s="75">
        <f t="shared" si="90"/>
        <v>0</v>
      </c>
      <c r="N89" s="75">
        <f t="shared" si="90"/>
        <v>0</v>
      </c>
      <c r="O89" s="75">
        <f t="shared" si="90"/>
        <v>2300</v>
      </c>
      <c r="P89" s="75">
        <f t="shared" si="74"/>
        <v>5653</v>
      </c>
      <c r="Q89" s="76">
        <f t="shared" si="75"/>
        <v>3353</v>
      </c>
      <c r="R89" s="75">
        <f t="shared" si="76"/>
        <v>2300</v>
      </c>
      <c r="S89" s="63"/>
      <c r="T89" s="75">
        <f>T39</f>
        <v>7500</v>
      </c>
      <c r="U89" s="75">
        <f>U39</f>
        <v>7500</v>
      </c>
      <c r="V89" s="75">
        <f>V39</f>
        <v>0</v>
      </c>
      <c r="W89" s="63"/>
      <c r="X89" s="63"/>
      <c r="Y89" s="63"/>
      <c r="Z89" s="63"/>
      <c r="AA89" s="63" t="str">
        <f t="shared" si="73"/>
        <v>Proceeds from Sale of Investments</v>
      </c>
      <c r="AB89" s="75">
        <f t="shared" si="77"/>
        <v>5653</v>
      </c>
      <c r="AC89" s="76">
        <f t="shared" si="78"/>
        <v>3353</v>
      </c>
      <c r="AD89" s="75">
        <f t="shared" si="79"/>
        <v>2300</v>
      </c>
      <c r="AE89" s="63"/>
      <c r="AF89" s="75">
        <f t="shared" si="80"/>
        <v>7500</v>
      </c>
      <c r="AG89" s="75">
        <f>AG39</f>
        <v>7500</v>
      </c>
      <c r="AH89" s="75">
        <f t="shared" si="81"/>
        <v>0</v>
      </c>
      <c r="AI89" s="63"/>
      <c r="AJ89" s="75">
        <f t="shared" si="82"/>
        <v>-4147</v>
      </c>
      <c r="AK89" s="75">
        <f t="shared" si="83"/>
        <v>-1847</v>
      </c>
      <c r="AL89" s="63"/>
      <c r="AM89" s="75">
        <f>AM39</f>
        <v>11500</v>
      </c>
      <c r="AN89" s="75">
        <f t="shared" si="84"/>
        <v>-5847</v>
      </c>
      <c r="AO89" s="63"/>
      <c r="AP89" s="75">
        <f>AP39</f>
        <v>3400</v>
      </c>
      <c r="AQ89" s="75">
        <f t="shared" si="85"/>
        <v>-47</v>
      </c>
      <c r="AR89" s="63"/>
      <c r="AS89" s="63"/>
      <c r="AT89" s="63"/>
      <c r="AU89" s="63"/>
    </row>
    <row r="90" spans="1:47">
      <c r="A90" s="100" t="s">
        <v>389</v>
      </c>
      <c r="B90" s="63"/>
      <c r="C90" s="63"/>
      <c r="D90" s="75">
        <f t="shared" ref="D90:O90" si="91">D40+D41</f>
        <v>-46095</v>
      </c>
      <c r="E90" s="75">
        <f t="shared" si="91"/>
        <v>-10286</v>
      </c>
      <c r="F90" s="75">
        <f t="shared" si="91"/>
        <v>-2257</v>
      </c>
      <c r="G90" s="75">
        <f t="shared" si="91"/>
        <v>5103</v>
      </c>
      <c r="H90" s="75">
        <f t="shared" si="91"/>
        <v>1068</v>
      </c>
      <c r="I90" s="75">
        <f t="shared" si="91"/>
        <v>3139</v>
      </c>
      <c r="J90" s="75">
        <f t="shared" si="91"/>
        <v>-2549</v>
      </c>
      <c r="K90" s="75">
        <f t="shared" si="91"/>
        <v>-8496</v>
      </c>
      <c r="L90" s="75">
        <f t="shared" si="91"/>
        <v>-11400</v>
      </c>
      <c r="M90" s="75">
        <f t="shared" si="91"/>
        <v>-8961</v>
      </c>
      <c r="N90" s="75">
        <f t="shared" si="91"/>
        <v>-8959</v>
      </c>
      <c r="O90" s="75">
        <f t="shared" si="91"/>
        <v>-4570</v>
      </c>
      <c r="P90" s="75">
        <f t="shared" si="74"/>
        <v>-94263</v>
      </c>
      <c r="Q90" s="76">
        <f t="shared" si="75"/>
        <v>-51877</v>
      </c>
      <c r="R90" s="75">
        <f t="shared" si="76"/>
        <v>-42386</v>
      </c>
      <c r="S90" s="63"/>
      <c r="T90" s="75">
        <f>T40+T41</f>
        <v>-90700</v>
      </c>
      <c r="U90" s="75">
        <f>U40+U41</f>
        <v>-77600</v>
      </c>
      <c r="V90" s="75">
        <f>V40+V41</f>
        <v>-13100</v>
      </c>
      <c r="W90" s="63"/>
      <c r="X90" s="63"/>
      <c r="Y90" s="63"/>
      <c r="Z90" s="63"/>
      <c r="AA90" s="63" t="str">
        <f t="shared" si="73"/>
        <v>Capital Expenditures (Excluding Interco. Transactions)</v>
      </c>
      <c r="AB90" s="75">
        <f t="shared" si="77"/>
        <v>-94263</v>
      </c>
      <c r="AC90" s="76">
        <f t="shared" si="78"/>
        <v>-71773</v>
      </c>
      <c r="AD90" s="75">
        <f t="shared" si="79"/>
        <v>-22490</v>
      </c>
      <c r="AE90" s="63"/>
      <c r="AF90" s="75">
        <f t="shared" si="80"/>
        <v>-90700</v>
      </c>
      <c r="AG90" s="75">
        <f>AG40+AG41</f>
        <v>-77600</v>
      </c>
      <c r="AH90" s="75">
        <f t="shared" si="81"/>
        <v>-13100</v>
      </c>
      <c r="AI90" s="63"/>
      <c r="AJ90" s="75">
        <f t="shared" si="82"/>
        <v>5827</v>
      </c>
      <c r="AK90" s="75">
        <f t="shared" si="83"/>
        <v>-3563</v>
      </c>
      <c r="AL90" s="63"/>
      <c r="AM90" s="75">
        <f>AM40+AM41</f>
        <v>-108905</v>
      </c>
      <c r="AN90" s="75">
        <f t="shared" si="84"/>
        <v>14642</v>
      </c>
      <c r="AO90" s="63"/>
      <c r="AP90" s="75">
        <f>AP40+AP41</f>
        <v>-84146</v>
      </c>
      <c r="AQ90" s="75">
        <f t="shared" si="85"/>
        <v>12373</v>
      </c>
      <c r="AR90" s="63"/>
      <c r="AS90" s="63"/>
      <c r="AT90" s="63"/>
      <c r="AU90" s="63"/>
    </row>
    <row r="91" spans="1:47">
      <c r="A91" s="106" t="s">
        <v>390</v>
      </c>
      <c r="B91" s="63"/>
      <c r="C91" s="63"/>
      <c r="D91" s="76">
        <v>0</v>
      </c>
      <c r="E91" s="76">
        <v>0</v>
      </c>
      <c r="F91" s="76">
        <v>0</v>
      </c>
      <c r="G91" s="76">
        <v>0</v>
      </c>
      <c r="H91" s="76">
        <v>0</v>
      </c>
      <c r="I91" s="76">
        <v>0</v>
      </c>
      <c r="J91" s="76">
        <v>0</v>
      </c>
      <c r="K91" s="76">
        <v>0</v>
      </c>
      <c r="L91" s="76">
        <v>0</v>
      </c>
      <c r="M91" s="76">
        <v>0</v>
      </c>
      <c r="N91" s="76">
        <v>0</v>
      </c>
      <c r="O91" s="76">
        <v>0</v>
      </c>
      <c r="P91" s="75">
        <f t="shared" si="74"/>
        <v>0</v>
      </c>
      <c r="Q91" s="76">
        <f t="shared" si="75"/>
        <v>0</v>
      </c>
      <c r="R91" s="75">
        <f t="shared" si="76"/>
        <v>0</v>
      </c>
      <c r="S91" s="63"/>
      <c r="T91" s="76">
        <v>0</v>
      </c>
      <c r="U91" s="76">
        <v>0</v>
      </c>
      <c r="V91" s="76">
        <v>0</v>
      </c>
      <c r="W91" s="63"/>
      <c r="X91" s="63"/>
      <c r="Y91" s="63"/>
      <c r="Z91" s="63"/>
      <c r="AA91" s="63" t="str">
        <f t="shared" si="73"/>
        <v>Equity Investments</v>
      </c>
      <c r="AB91" s="75">
        <f t="shared" si="77"/>
        <v>0</v>
      </c>
      <c r="AC91" s="76">
        <f t="shared" si="78"/>
        <v>0</v>
      </c>
      <c r="AD91" s="75">
        <f t="shared" si="79"/>
        <v>0</v>
      </c>
      <c r="AE91" s="63"/>
      <c r="AF91" s="75">
        <f t="shared" si="80"/>
        <v>0</v>
      </c>
      <c r="AG91" s="76">
        <v>0</v>
      </c>
      <c r="AH91" s="75">
        <f t="shared" si="81"/>
        <v>0</v>
      </c>
      <c r="AI91" s="63"/>
      <c r="AJ91" s="75">
        <f t="shared" si="82"/>
        <v>0</v>
      </c>
      <c r="AK91" s="75">
        <f t="shared" si="83"/>
        <v>0</v>
      </c>
      <c r="AL91" s="63"/>
      <c r="AM91" s="76">
        <v>0</v>
      </c>
      <c r="AN91" s="75">
        <f t="shared" si="84"/>
        <v>0</v>
      </c>
      <c r="AO91" s="63"/>
      <c r="AP91" s="76">
        <v>0</v>
      </c>
      <c r="AQ91" s="75">
        <f t="shared" si="85"/>
        <v>0</v>
      </c>
      <c r="AR91" s="63"/>
      <c r="AS91" s="63"/>
      <c r="AT91" s="63"/>
      <c r="AU91" s="63"/>
    </row>
    <row r="92" spans="1:47">
      <c r="A92" s="100" t="s">
        <v>391</v>
      </c>
      <c r="B92" s="63"/>
      <c r="C92" s="63"/>
      <c r="D92" s="80">
        <f t="shared" ref="D92:O92" si="92">SUM(D28:D28)+SUM(D32:D34)+D42+D43</f>
        <v>-1235</v>
      </c>
      <c r="E92" s="80">
        <f t="shared" si="92"/>
        <v>2723</v>
      </c>
      <c r="F92" s="80">
        <f t="shared" si="92"/>
        <v>-3715</v>
      </c>
      <c r="G92" s="80">
        <f t="shared" si="92"/>
        <v>982</v>
      </c>
      <c r="H92" s="80">
        <f t="shared" si="92"/>
        <v>5914</v>
      </c>
      <c r="I92" s="80">
        <f t="shared" si="92"/>
        <v>-677</v>
      </c>
      <c r="J92" s="80">
        <f t="shared" si="92"/>
        <v>2228</v>
      </c>
      <c r="K92" s="80">
        <f t="shared" si="92"/>
        <v>183</v>
      </c>
      <c r="L92" s="80">
        <f t="shared" si="92"/>
        <v>199</v>
      </c>
      <c r="M92" s="80">
        <f t="shared" si="92"/>
        <v>156</v>
      </c>
      <c r="N92" s="80">
        <f t="shared" si="92"/>
        <v>832</v>
      </c>
      <c r="O92" s="80">
        <f t="shared" si="92"/>
        <v>-12463</v>
      </c>
      <c r="P92" s="80">
        <f t="shared" si="74"/>
        <v>-4873</v>
      </c>
      <c r="Q92" s="99">
        <f t="shared" si="75"/>
        <v>6220</v>
      </c>
      <c r="R92" s="80">
        <f t="shared" si="76"/>
        <v>-11093</v>
      </c>
      <c r="S92" s="63"/>
      <c r="T92" s="80">
        <f>SUM(T28:T28)+SUM(T32:T34)+T42+T43</f>
        <v>-14541</v>
      </c>
      <c r="U92" s="80">
        <f>SUM(U28:U28)+SUM(U32:U34)+U42+U43</f>
        <v>-11908</v>
      </c>
      <c r="V92" s="80">
        <f>SUM(V28:V28)+SUM(V32:V34)+V42+V43</f>
        <v>-2633</v>
      </c>
      <c r="W92" s="63"/>
      <c r="X92" s="63"/>
      <c r="Y92" s="63"/>
      <c r="Z92" s="63"/>
      <c r="AA92" s="63" t="str">
        <f t="shared" si="73"/>
        <v xml:space="preserve">Others, Net </v>
      </c>
      <c r="AB92" s="80">
        <f t="shared" si="77"/>
        <v>-4873</v>
      </c>
      <c r="AC92" s="99">
        <f t="shared" si="78"/>
        <v>6602</v>
      </c>
      <c r="AD92" s="80">
        <f t="shared" si="79"/>
        <v>-11475</v>
      </c>
      <c r="AE92" s="63"/>
      <c r="AF92" s="80">
        <f t="shared" si="80"/>
        <v>-14541</v>
      </c>
      <c r="AG92" s="80">
        <f>SUM(AG28:AG28)+SUM(AG32:AG34)+AG42+AG43</f>
        <v>-11908</v>
      </c>
      <c r="AH92" s="80">
        <f t="shared" si="81"/>
        <v>-2633</v>
      </c>
      <c r="AI92" s="63"/>
      <c r="AJ92" s="80">
        <f t="shared" si="82"/>
        <v>18510</v>
      </c>
      <c r="AK92" s="80">
        <f t="shared" si="83"/>
        <v>9668</v>
      </c>
      <c r="AL92" s="63"/>
      <c r="AM92" s="80">
        <f>SUM(AM28:AM28)+SUM(AM32:AM34)+AM42+AM43</f>
        <v>-18141</v>
      </c>
      <c r="AN92" s="80">
        <f t="shared" si="84"/>
        <v>13268</v>
      </c>
      <c r="AO92" s="63"/>
      <c r="AP92" s="80">
        <f>SUM(AP28:AP28)+SUM(AP32:AP34)+AP42+AP43</f>
        <v>2533</v>
      </c>
      <c r="AQ92" s="80">
        <f t="shared" si="85"/>
        <v>4069</v>
      </c>
      <c r="AR92" s="63"/>
      <c r="AS92" s="63"/>
      <c r="AT92" s="63"/>
      <c r="AU92" s="63"/>
    </row>
    <row r="93" spans="1:47" ht="6" customHeight="1">
      <c r="A93" s="9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</row>
    <row r="94" spans="1:47">
      <c r="A94" s="104" t="s">
        <v>392</v>
      </c>
      <c r="B94" s="63"/>
      <c r="C94" s="63"/>
      <c r="D94" s="83">
        <f t="shared" ref="D94:R94" si="93">SUM(D81:D92)</f>
        <v>31364</v>
      </c>
      <c r="E94" s="83">
        <f t="shared" si="93"/>
        <v>-29096</v>
      </c>
      <c r="F94" s="83">
        <f t="shared" si="93"/>
        <v>8294</v>
      </c>
      <c r="G94" s="83">
        <f t="shared" si="93"/>
        <v>47457</v>
      </c>
      <c r="H94" s="83">
        <f t="shared" si="93"/>
        <v>13345</v>
      </c>
      <c r="I94" s="83">
        <f t="shared" si="93"/>
        <v>-3733</v>
      </c>
      <c r="J94" s="83">
        <f t="shared" si="93"/>
        <v>11701</v>
      </c>
      <c r="K94" s="83">
        <f t="shared" si="93"/>
        <v>11449</v>
      </c>
      <c r="L94" s="83">
        <f t="shared" si="93"/>
        <v>-5400</v>
      </c>
      <c r="M94" s="83">
        <f t="shared" si="93"/>
        <v>-16600</v>
      </c>
      <c r="N94" s="83">
        <f t="shared" si="93"/>
        <v>-22000</v>
      </c>
      <c r="O94" s="83">
        <f t="shared" si="93"/>
        <v>-14300</v>
      </c>
      <c r="P94" s="83">
        <f t="shared" si="93"/>
        <v>32481</v>
      </c>
      <c r="Q94" s="83">
        <f t="shared" si="93"/>
        <v>79332</v>
      </c>
      <c r="R94" s="83">
        <f t="shared" si="93"/>
        <v>-46851</v>
      </c>
      <c r="S94" s="63"/>
      <c r="T94" s="83">
        <f>SUM(T81:T92)</f>
        <v>38700</v>
      </c>
      <c r="U94" s="83">
        <f>SUM(U81:U92)</f>
        <v>46900</v>
      </c>
      <c r="V94" s="83">
        <f>SUM(V81:V92)</f>
        <v>-8200</v>
      </c>
      <c r="W94" s="63"/>
      <c r="X94" s="63"/>
      <c r="Y94" s="63"/>
      <c r="Z94" s="63"/>
      <c r="AA94" s="60" t="str">
        <f>A94</f>
        <v>Net Cash Flow</v>
      </c>
      <c r="AB94" s="83">
        <f>SUM(AB81:AB92)</f>
        <v>32481</v>
      </c>
      <c r="AC94" s="83">
        <f>SUM(AC81:AC92)</f>
        <v>85381</v>
      </c>
      <c r="AD94" s="83">
        <f>SUM(AD81:AD92)</f>
        <v>-52900</v>
      </c>
      <c r="AE94" s="63"/>
      <c r="AF94" s="83">
        <f>SUM(AF81:AF92)</f>
        <v>38700</v>
      </c>
      <c r="AG94" s="83">
        <f>SUM(AG81:AG92)</f>
        <v>46900</v>
      </c>
      <c r="AH94" s="83">
        <f>SUM(AH81:AH92)</f>
        <v>-8200</v>
      </c>
      <c r="AI94" s="63"/>
      <c r="AJ94" s="83">
        <f>SUM(AJ81:AJ92)</f>
        <v>38481</v>
      </c>
      <c r="AK94" s="83">
        <f>SUM(AK81:AK92)</f>
        <v>-6219</v>
      </c>
      <c r="AL94" s="63"/>
      <c r="AM94" s="83">
        <f>SUM(AM81:AM92)</f>
        <v>19489</v>
      </c>
      <c r="AN94" s="83">
        <f>SUM(AN81:AN92)</f>
        <v>12992</v>
      </c>
      <c r="AO94" s="63"/>
      <c r="AP94" s="83">
        <f>SUM(AP81:AP92)</f>
        <v>67539</v>
      </c>
      <c r="AQ94" s="83">
        <f>SUM(AQ81:AQ92)</f>
        <v>17842</v>
      </c>
      <c r="AR94" s="63"/>
      <c r="AS94" s="63"/>
      <c r="AT94" s="63"/>
      <c r="AU94" s="63"/>
    </row>
    <row r="95" spans="1:47" ht="6" customHeight="1">
      <c r="A95" s="9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0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</row>
    <row r="96" spans="1:47">
      <c r="A96" s="100" t="s">
        <v>393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 t="str">
        <f>A96</f>
        <v>Other Items Affecting Interco. Cash Balance with Corporate</v>
      </c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</row>
    <row r="97" spans="1:47">
      <c r="A97" s="100" t="s">
        <v>394</v>
      </c>
      <c r="B97" s="63"/>
      <c r="C97" s="63"/>
      <c r="D97" s="75">
        <f>D51+D52</f>
        <v>0</v>
      </c>
      <c r="E97" s="75">
        <f t="shared" ref="E97:O97" si="94">E51+E52</f>
        <v>0</v>
      </c>
      <c r="F97" s="75">
        <f t="shared" si="94"/>
        <v>0</v>
      </c>
      <c r="G97" s="75">
        <f t="shared" si="94"/>
        <v>0</v>
      </c>
      <c r="H97" s="75">
        <f t="shared" si="94"/>
        <v>0</v>
      </c>
      <c r="I97" s="75">
        <f t="shared" si="94"/>
        <v>0</v>
      </c>
      <c r="J97" s="75">
        <f t="shared" si="94"/>
        <v>0</v>
      </c>
      <c r="K97" s="75">
        <f t="shared" si="94"/>
        <v>0</v>
      </c>
      <c r="L97" s="75">
        <f t="shared" si="94"/>
        <v>0</v>
      </c>
      <c r="M97" s="75">
        <f t="shared" si="94"/>
        <v>0</v>
      </c>
      <c r="N97" s="75">
        <f t="shared" si="94"/>
        <v>0</v>
      </c>
      <c r="O97" s="75">
        <f t="shared" si="94"/>
        <v>0</v>
      </c>
      <c r="P97" s="75">
        <f>SUM(D97:O97)</f>
        <v>0</v>
      </c>
      <c r="Q97" s="76">
        <f>SUM(D97:J97)</f>
        <v>0</v>
      </c>
      <c r="R97" s="75">
        <f>P97-Q97</f>
        <v>0</v>
      </c>
      <c r="S97" s="63"/>
      <c r="T97" s="75">
        <f>T51+T52</f>
        <v>0</v>
      </c>
      <c r="U97" s="75">
        <f>U51+U52</f>
        <v>0</v>
      </c>
      <c r="V97" s="75">
        <f>V51+V52</f>
        <v>0</v>
      </c>
      <c r="W97" s="63"/>
      <c r="X97" s="63"/>
      <c r="Y97" s="63"/>
      <c r="Z97" s="63"/>
      <c r="AA97" s="63" t="str">
        <f>A97</f>
        <v xml:space="preserve">      Third Party Debt Increase / (Decrease)</v>
      </c>
      <c r="AB97" s="75">
        <f>P97</f>
        <v>0</v>
      </c>
      <c r="AC97" s="76">
        <f>SUM(D97:L97)</f>
        <v>0</v>
      </c>
      <c r="AD97" s="75">
        <f>AB97-AC97</f>
        <v>0</v>
      </c>
      <c r="AE97" s="63"/>
      <c r="AF97" s="75">
        <f>T97</f>
        <v>0</v>
      </c>
      <c r="AG97" s="75">
        <f>AG51+AG52</f>
        <v>0</v>
      </c>
      <c r="AH97" s="75">
        <f>AF97-AG97</f>
        <v>0</v>
      </c>
      <c r="AI97" s="63"/>
      <c r="AJ97" s="75">
        <f>AC97-AG97</f>
        <v>0</v>
      </c>
      <c r="AK97" s="75">
        <f>AB97-AF97</f>
        <v>0</v>
      </c>
      <c r="AL97" s="63"/>
      <c r="AM97" s="75">
        <f>AM51+AM52</f>
        <v>0</v>
      </c>
      <c r="AN97" s="75">
        <f>AB97-AM97</f>
        <v>0</v>
      </c>
      <c r="AO97" s="63"/>
      <c r="AP97" s="75">
        <f>AP51+AP52</f>
        <v>0</v>
      </c>
      <c r="AQ97" s="75">
        <f>AC97-AP97</f>
        <v>0</v>
      </c>
      <c r="AR97" s="63"/>
      <c r="AS97" s="63"/>
      <c r="AT97" s="63"/>
      <c r="AU97" s="63"/>
    </row>
    <row r="98" spans="1:47">
      <c r="A98" s="100" t="s">
        <v>395</v>
      </c>
      <c r="B98" s="63"/>
      <c r="C98" s="63"/>
      <c r="D98" s="75">
        <f t="shared" ref="D98:O98" si="95">D50</f>
        <v>0</v>
      </c>
      <c r="E98" s="75">
        <f t="shared" si="95"/>
        <v>0</v>
      </c>
      <c r="F98" s="75">
        <f t="shared" si="95"/>
        <v>0</v>
      </c>
      <c r="G98" s="75">
        <f t="shared" si="95"/>
        <v>0</v>
      </c>
      <c r="H98" s="75">
        <f t="shared" si="95"/>
        <v>0</v>
      </c>
      <c r="I98" s="75">
        <f t="shared" si="95"/>
        <v>0</v>
      </c>
      <c r="J98" s="75">
        <f t="shared" si="95"/>
        <v>0</v>
      </c>
      <c r="K98" s="75">
        <f t="shared" si="95"/>
        <v>0</v>
      </c>
      <c r="L98" s="75">
        <f t="shared" si="95"/>
        <v>0</v>
      </c>
      <c r="M98" s="75">
        <f t="shared" si="95"/>
        <v>0</v>
      </c>
      <c r="N98" s="75">
        <f t="shared" si="95"/>
        <v>0</v>
      </c>
      <c r="O98" s="75">
        <f t="shared" si="95"/>
        <v>0</v>
      </c>
      <c r="P98" s="75">
        <f>SUM(D98:O98)</f>
        <v>0</v>
      </c>
      <c r="Q98" s="76">
        <f>SUM(D98:J98)</f>
        <v>0</v>
      </c>
      <c r="R98" s="75">
        <f>P98-Q98</f>
        <v>0</v>
      </c>
      <c r="S98" s="63"/>
      <c r="T98" s="75">
        <f>T50</f>
        <v>0</v>
      </c>
      <c r="U98" s="75">
        <f>U50</f>
        <v>0</v>
      </c>
      <c r="V98" s="75">
        <f>V50</f>
        <v>0</v>
      </c>
      <c r="W98" s="63"/>
      <c r="X98" s="63"/>
      <c r="Y98" s="63"/>
      <c r="Z98" s="63"/>
      <c r="AA98" s="63" t="str">
        <f>A98</f>
        <v xml:space="preserve">      Dividends Paid to Corporate</v>
      </c>
      <c r="AB98" s="75">
        <f>P98</f>
        <v>0</v>
      </c>
      <c r="AC98" s="76">
        <f>SUM(D98:L98)</f>
        <v>0</v>
      </c>
      <c r="AD98" s="75">
        <f>AB98-AC98</f>
        <v>0</v>
      </c>
      <c r="AE98" s="63"/>
      <c r="AF98" s="75">
        <f>T98</f>
        <v>0</v>
      </c>
      <c r="AG98" s="75">
        <f>AG50</f>
        <v>0</v>
      </c>
      <c r="AH98" s="75">
        <f>AF98-AG98</f>
        <v>0</v>
      </c>
      <c r="AI98" s="63"/>
      <c r="AJ98" s="75">
        <f>AC98-AG98</f>
        <v>0</v>
      </c>
      <c r="AK98" s="75">
        <f>AB98-AF98</f>
        <v>0</v>
      </c>
      <c r="AL98" s="63"/>
      <c r="AM98" s="75">
        <f>AM50</f>
        <v>0</v>
      </c>
      <c r="AN98" s="75">
        <f>AB98-AM98</f>
        <v>0</v>
      </c>
      <c r="AO98" s="63"/>
      <c r="AP98" s="75">
        <f>AP50</f>
        <v>0</v>
      </c>
      <c r="AQ98" s="75">
        <f>AC98-AP98</f>
        <v>0</v>
      </c>
      <c r="AR98" s="63"/>
      <c r="AS98" s="63"/>
      <c r="AT98" s="63"/>
      <c r="AU98" s="63"/>
    </row>
    <row r="99" spans="1:47">
      <c r="A99" s="106" t="s">
        <v>396</v>
      </c>
      <c r="B99" s="63"/>
      <c r="C99" s="63"/>
      <c r="D99" s="75">
        <f t="shared" ref="D99:O99" si="96">D53</f>
        <v>0</v>
      </c>
      <c r="E99" s="75">
        <f t="shared" si="96"/>
        <v>0</v>
      </c>
      <c r="F99" s="75">
        <f t="shared" si="96"/>
        <v>0</v>
      </c>
      <c r="G99" s="75">
        <f t="shared" si="96"/>
        <v>0</v>
      </c>
      <c r="H99" s="75">
        <f t="shared" si="96"/>
        <v>0</v>
      </c>
      <c r="I99" s="75">
        <f t="shared" si="96"/>
        <v>0</v>
      </c>
      <c r="J99" s="75">
        <f t="shared" si="96"/>
        <v>0</v>
      </c>
      <c r="K99" s="75">
        <f t="shared" si="96"/>
        <v>0</v>
      </c>
      <c r="L99" s="75">
        <f t="shared" si="96"/>
        <v>0</v>
      </c>
      <c r="M99" s="75">
        <f t="shared" si="96"/>
        <v>0</v>
      </c>
      <c r="N99" s="75">
        <f t="shared" si="96"/>
        <v>0</v>
      </c>
      <c r="O99" s="75">
        <f t="shared" si="96"/>
        <v>0</v>
      </c>
      <c r="P99" s="75">
        <f>SUM(D99:O99)</f>
        <v>0</v>
      </c>
      <c r="Q99" s="76">
        <f>SUM(D99:J99)</f>
        <v>0</v>
      </c>
      <c r="R99" s="75">
        <f>P99-Q99</f>
        <v>0</v>
      </c>
      <c r="S99" s="63"/>
      <c r="T99" s="75">
        <f>T53</f>
        <v>0</v>
      </c>
      <c r="U99" s="75">
        <f>U53</f>
        <v>0</v>
      </c>
      <c r="V99" s="75">
        <f>V53</f>
        <v>0</v>
      </c>
      <c r="W99" s="63"/>
      <c r="X99" s="63"/>
      <c r="Y99" s="63"/>
      <c r="Z99" s="63"/>
      <c r="AA99" s="63" t="str">
        <f>A99</f>
        <v xml:space="preserve">      Dividends Paid to Outside Parties / Other</v>
      </c>
      <c r="AB99" s="75">
        <f>P99</f>
        <v>0</v>
      </c>
      <c r="AC99" s="76">
        <f>SUM(D99:L99)</f>
        <v>0</v>
      </c>
      <c r="AD99" s="75">
        <f>AB99-AC99</f>
        <v>0</v>
      </c>
      <c r="AE99" s="63"/>
      <c r="AF99" s="75">
        <f>T99</f>
        <v>0</v>
      </c>
      <c r="AG99" s="75">
        <f>AG53</f>
        <v>0</v>
      </c>
      <c r="AH99" s="75">
        <f>AF99-AG99</f>
        <v>0</v>
      </c>
      <c r="AI99" s="63"/>
      <c r="AJ99" s="75">
        <f>AC99-AG99</f>
        <v>0</v>
      </c>
      <c r="AK99" s="75">
        <f>AB99-AF99</f>
        <v>0</v>
      </c>
      <c r="AL99" s="63"/>
      <c r="AM99" s="75">
        <f>AM53</f>
        <v>0</v>
      </c>
      <c r="AN99" s="75">
        <f>AB99-AM99</f>
        <v>0</v>
      </c>
      <c r="AO99" s="63"/>
      <c r="AP99" s="75">
        <f>AP53</f>
        <v>0</v>
      </c>
      <c r="AQ99" s="75">
        <f>AC99-AP99</f>
        <v>0</v>
      </c>
      <c r="AR99" s="63"/>
      <c r="AS99" s="63"/>
      <c r="AT99" s="63"/>
      <c r="AU99" s="63"/>
    </row>
    <row r="100" spans="1:47">
      <c r="A100" s="100" t="s">
        <v>397</v>
      </c>
      <c r="B100" s="63"/>
      <c r="C100" s="63"/>
      <c r="D100" s="99">
        <v>0</v>
      </c>
      <c r="E100" s="99">
        <v>0</v>
      </c>
      <c r="F100" s="99">
        <v>0</v>
      </c>
      <c r="G100" s="99">
        <v>0</v>
      </c>
      <c r="H100" s="99">
        <v>0</v>
      </c>
      <c r="I100" s="99">
        <v>0</v>
      </c>
      <c r="J100" s="99">
        <v>0</v>
      </c>
      <c r="K100" s="99">
        <v>0</v>
      </c>
      <c r="L100" s="99">
        <v>0</v>
      </c>
      <c r="M100" s="99">
        <v>0</v>
      </c>
      <c r="N100" s="99">
        <v>0</v>
      </c>
      <c r="O100" s="99">
        <v>0</v>
      </c>
      <c r="P100" s="80">
        <f>SUM(D100:O100)</f>
        <v>0</v>
      </c>
      <c r="Q100" s="99">
        <f>SUM(D100:J100)</f>
        <v>0</v>
      </c>
      <c r="R100" s="80">
        <f>P100-Q100</f>
        <v>0</v>
      </c>
      <c r="S100" s="63"/>
      <c r="T100" s="99">
        <v>0</v>
      </c>
      <c r="U100" s="99">
        <v>0</v>
      </c>
      <c r="V100" s="99">
        <v>0</v>
      </c>
      <c r="W100" s="63"/>
      <c r="X100" s="63"/>
      <c r="Y100" s="63"/>
      <c r="Z100" s="63"/>
      <c r="AA100" s="63" t="str">
        <f>A100</f>
        <v xml:space="preserve">      Restricted / Retained Cash</v>
      </c>
      <c r="AB100" s="80">
        <f>P100</f>
        <v>0</v>
      </c>
      <c r="AC100" s="99">
        <f>SUM(D100:L100)</f>
        <v>0</v>
      </c>
      <c r="AD100" s="80">
        <f>AB100-AC100</f>
        <v>0</v>
      </c>
      <c r="AE100" s="63"/>
      <c r="AF100" s="80">
        <f>T100</f>
        <v>0</v>
      </c>
      <c r="AG100" s="99">
        <v>0</v>
      </c>
      <c r="AH100" s="80">
        <f>AF100-AG100</f>
        <v>0</v>
      </c>
      <c r="AI100" s="63"/>
      <c r="AJ100" s="80">
        <f>AC100-AG100</f>
        <v>0</v>
      </c>
      <c r="AK100" s="80">
        <f>AB100-AF100</f>
        <v>0</v>
      </c>
      <c r="AL100" s="63"/>
      <c r="AM100" s="79">
        <v>0</v>
      </c>
      <c r="AN100" s="80">
        <f>AB100-AM100</f>
        <v>0</v>
      </c>
      <c r="AO100" s="63"/>
      <c r="AP100" s="79">
        <v>0</v>
      </c>
      <c r="AQ100" s="80">
        <f>AC100-AP100</f>
        <v>0</v>
      </c>
      <c r="AR100" s="63"/>
      <c r="AS100" s="63"/>
      <c r="AT100" s="63"/>
      <c r="AU100" s="63"/>
    </row>
    <row r="101" spans="1:47" ht="6" customHeight="1">
      <c r="A101" s="94"/>
      <c r="B101" s="63"/>
      <c r="C101" s="63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63"/>
      <c r="T101" s="75"/>
      <c r="U101" s="75"/>
      <c r="V101" s="75"/>
      <c r="W101" s="63"/>
      <c r="X101" s="63"/>
      <c r="Y101" s="63"/>
      <c r="Z101" s="63"/>
      <c r="AA101" s="60"/>
      <c r="AB101" s="75"/>
      <c r="AC101" s="75"/>
      <c r="AD101" s="75"/>
      <c r="AE101" s="63"/>
      <c r="AF101" s="75"/>
      <c r="AG101" s="75"/>
      <c r="AH101" s="75"/>
      <c r="AI101" s="63"/>
      <c r="AJ101" s="75"/>
      <c r="AK101" s="75"/>
      <c r="AL101" s="63"/>
      <c r="AM101" s="75"/>
      <c r="AN101" s="75"/>
      <c r="AO101" s="63"/>
      <c r="AP101" s="75"/>
      <c r="AQ101" s="75"/>
      <c r="AR101" s="63"/>
      <c r="AS101" s="63"/>
      <c r="AT101" s="63"/>
      <c r="AU101" s="63"/>
    </row>
    <row r="102" spans="1:47">
      <c r="A102" s="104" t="s">
        <v>398</v>
      </c>
      <c r="B102" s="63"/>
      <c r="C102" s="63"/>
      <c r="D102" s="83">
        <f t="shared" ref="D102:R102" si="97">SUM(D94:D100)</f>
        <v>31364</v>
      </c>
      <c r="E102" s="83">
        <f t="shared" si="97"/>
        <v>-29096</v>
      </c>
      <c r="F102" s="83">
        <f t="shared" si="97"/>
        <v>8294</v>
      </c>
      <c r="G102" s="83">
        <f t="shared" si="97"/>
        <v>47457</v>
      </c>
      <c r="H102" s="83">
        <f t="shared" si="97"/>
        <v>13345</v>
      </c>
      <c r="I102" s="83">
        <f t="shared" si="97"/>
        <v>-3733</v>
      </c>
      <c r="J102" s="83">
        <f t="shared" si="97"/>
        <v>11701</v>
      </c>
      <c r="K102" s="83">
        <f t="shared" si="97"/>
        <v>11449</v>
      </c>
      <c r="L102" s="83">
        <f t="shared" si="97"/>
        <v>-5400</v>
      </c>
      <c r="M102" s="83">
        <f t="shared" si="97"/>
        <v>-16600</v>
      </c>
      <c r="N102" s="83">
        <f t="shared" si="97"/>
        <v>-22000</v>
      </c>
      <c r="O102" s="83">
        <f t="shared" si="97"/>
        <v>-14300</v>
      </c>
      <c r="P102" s="83">
        <f t="shared" si="97"/>
        <v>32481</v>
      </c>
      <c r="Q102" s="83">
        <f t="shared" si="97"/>
        <v>79332</v>
      </c>
      <c r="R102" s="83">
        <f t="shared" si="97"/>
        <v>-46851</v>
      </c>
      <c r="S102" s="63"/>
      <c r="T102" s="83">
        <f>SUM(T94:T100)</f>
        <v>38700</v>
      </c>
      <c r="U102" s="83">
        <f>SUM(U94:U100)</f>
        <v>46900</v>
      </c>
      <c r="V102" s="83">
        <f>SUM(V94:V100)</f>
        <v>-8200</v>
      </c>
      <c r="W102" s="63"/>
      <c r="X102" s="63"/>
      <c r="Y102" s="63"/>
      <c r="Z102" s="63"/>
      <c r="AA102" s="60" t="str">
        <f>A102</f>
        <v xml:space="preserve">Increase / (Decrease) in Cash Balance with Corporate </v>
      </c>
      <c r="AB102" s="83">
        <f>SUM(AB94:AB100)</f>
        <v>32481</v>
      </c>
      <c r="AC102" s="83">
        <f>SUM(AC94:AC100)</f>
        <v>85381</v>
      </c>
      <c r="AD102" s="83">
        <f>SUM(AD94:AD100)</f>
        <v>-52900</v>
      </c>
      <c r="AE102" s="63"/>
      <c r="AF102" s="83">
        <f>SUM(AF94:AF100)</f>
        <v>38700</v>
      </c>
      <c r="AG102" s="83">
        <f>SUM(AG94:AG100)</f>
        <v>46900</v>
      </c>
      <c r="AH102" s="83">
        <f>SUM(AH94:AH100)</f>
        <v>-8200</v>
      </c>
      <c r="AI102" s="63"/>
      <c r="AJ102" s="83">
        <f>SUM(AJ94:AJ100)</f>
        <v>38481</v>
      </c>
      <c r="AK102" s="83">
        <f>SUM(AK94:AK100)</f>
        <v>-6219</v>
      </c>
      <c r="AL102" s="63"/>
      <c r="AM102" s="83">
        <f>SUM(AM94:AM100)</f>
        <v>19489</v>
      </c>
      <c r="AN102" s="83">
        <f>SUM(AN94:AN100)</f>
        <v>12992</v>
      </c>
      <c r="AO102" s="63"/>
      <c r="AP102" s="83">
        <f>SUM(AP94:AP100)</f>
        <v>67539</v>
      </c>
      <c r="AQ102" s="83">
        <f>SUM(AQ94:AQ100)</f>
        <v>17842</v>
      </c>
      <c r="AR102" s="63"/>
      <c r="AS102" s="63"/>
      <c r="AT102" s="63"/>
      <c r="AU102" s="63"/>
    </row>
    <row r="103" spans="1:47" ht="6" customHeight="1">
      <c r="A103" s="94"/>
      <c r="B103" s="63"/>
      <c r="C103" s="63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63"/>
      <c r="T103" s="75"/>
      <c r="U103" s="75"/>
      <c r="V103" s="75"/>
      <c r="W103" s="63"/>
      <c r="X103" s="63"/>
      <c r="Y103" s="63"/>
      <c r="Z103" s="63"/>
      <c r="AA103" s="60"/>
      <c r="AB103" s="75"/>
      <c r="AC103" s="75"/>
      <c r="AD103" s="75"/>
      <c r="AE103" s="63"/>
      <c r="AF103" s="75"/>
      <c r="AG103" s="75"/>
      <c r="AH103" s="75"/>
      <c r="AI103" s="63"/>
      <c r="AJ103" s="75"/>
      <c r="AK103" s="75"/>
      <c r="AL103" s="63"/>
      <c r="AM103" s="75"/>
      <c r="AN103" s="75"/>
      <c r="AO103" s="63"/>
      <c r="AP103" s="75"/>
      <c r="AQ103" s="75"/>
      <c r="AR103" s="63"/>
      <c r="AS103" s="63"/>
      <c r="AT103" s="63"/>
      <c r="AU103" s="63"/>
    </row>
    <row r="104" spans="1:47">
      <c r="A104" s="100" t="s">
        <v>399</v>
      </c>
      <c r="B104" s="63"/>
      <c r="C104" s="63"/>
      <c r="D104" s="80">
        <f t="shared" ref="D104:O104" si="98">D59</f>
        <v>-6</v>
      </c>
      <c r="E104" s="80">
        <f t="shared" si="98"/>
        <v>-6</v>
      </c>
      <c r="F104" s="80">
        <f t="shared" si="98"/>
        <v>-7</v>
      </c>
      <c r="G104" s="80">
        <f t="shared" si="98"/>
        <v>-6</v>
      </c>
      <c r="H104" s="80">
        <f t="shared" si="98"/>
        <v>-7</v>
      </c>
      <c r="I104" s="80">
        <f t="shared" si="98"/>
        <v>-6</v>
      </c>
      <c r="J104" s="80">
        <f t="shared" si="98"/>
        <v>-7</v>
      </c>
      <c r="K104" s="80">
        <f t="shared" si="98"/>
        <v>-6</v>
      </c>
      <c r="L104" s="80">
        <f t="shared" si="98"/>
        <v>-7</v>
      </c>
      <c r="M104" s="80">
        <f t="shared" si="98"/>
        <v>-6</v>
      </c>
      <c r="N104" s="80">
        <f t="shared" si="98"/>
        <v>-7</v>
      </c>
      <c r="O104" s="80">
        <f t="shared" si="98"/>
        <v>-6</v>
      </c>
      <c r="P104" s="80">
        <f>SUM(D104:O104)</f>
        <v>-77</v>
      </c>
      <c r="Q104" s="99">
        <f>SUM(D104:J104)</f>
        <v>-45</v>
      </c>
      <c r="R104" s="80">
        <f>P104-Q104</f>
        <v>-32</v>
      </c>
      <c r="S104" s="63"/>
      <c r="T104" s="80">
        <f>T59</f>
        <v>-77</v>
      </c>
      <c r="U104" s="80">
        <f>U59</f>
        <v>-58</v>
      </c>
      <c r="V104" s="80">
        <f>V59</f>
        <v>-19</v>
      </c>
      <c r="W104" s="63"/>
      <c r="X104" s="63"/>
      <c r="Y104" s="63"/>
      <c r="Z104" s="63"/>
      <c r="AA104" s="63" t="str">
        <f>A104</f>
        <v>Change in Other Obligations</v>
      </c>
      <c r="AB104" s="80">
        <f>P104</f>
        <v>-77</v>
      </c>
      <c r="AC104" s="99">
        <f>SUM(D104:L104)</f>
        <v>-58</v>
      </c>
      <c r="AD104" s="80">
        <f>AB104-AC104</f>
        <v>-19</v>
      </c>
      <c r="AE104" s="63"/>
      <c r="AF104" s="80">
        <f>T104</f>
        <v>-77</v>
      </c>
      <c r="AG104" s="80">
        <f>AG59</f>
        <v>-58</v>
      </c>
      <c r="AH104" s="80">
        <f>AF104-AG104</f>
        <v>-19</v>
      </c>
      <c r="AI104" s="63"/>
      <c r="AJ104" s="80">
        <f>AC104-AG104</f>
        <v>0</v>
      </c>
      <c r="AK104" s="80">
        <f>AB104-AF104</f>
        <v>0</v>
      </c>
      <c r="AL104" s="63"/>
      <c r="AM104" s="80">
        <f>AM59</f>
        <v>-77</v>
      </c>
      <c r="AN104" s="80">
        <f>AB104-AM104</f>
        <v>0</v>
      </c>
      <c r="AO104" s="63"/>
      <c r="AP104" s="80">
        <f>AP59</f>
        <v>-58</v>
      </c>
      <c r="AQ104" s="80">
        <f>AC104-AP104</f>
        <v>0</v>
      </c>
      <c r="AR104" s="63"/>
      <c r="AS104" s="63"/>
      <c r="AT104" s="63"/>
      <c r="AU104" s="63"/>
    </row>
    <row r="105" spans="1:47" ht="6" customHeight="1">
      <c r="A105" s="9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0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</row>
    <row r="106" spans="1:47">
      <c r="A106" s="104" t="s">
        <v>400</v>
      </c>
      <c r="B106" s="63"/>
      <c r="C106" s="63"/>
      <c r="D106" s="82">
        <f t="shared" ref="D106:R106" si="99">SUM(D102:D104)</f>
        <v>31358</v>
      </c>
      <c r="E106" s="82">
        <f t="shared" si="99"/>
        <v>-29102</v>
      </c>
      <c r="F106" s="82">
        <f t="shared" si="99"/>
        <v>8287</v>
      </c>
      <c r="G106" s="82">
        <f t="shared" si="99"/>
        <v>47451</v>
      </c>
      <c r="H106" s="82">
        <f t="shared" si="99"/>
        <v>13338</v>
      </c>
      <c r="I106" s="82">
        <f t="shared" si="99"/>
        <v>-3739</v>
      </c>
      <c r="J106" s="82">
        <f t="shared" si="99"/>
        <v>11694</v>
      </c>
      <c r="K106" s="82">
        <f t="shared" si="99"/>
        <v>11443</v>
      </c>
      <c r="L106" s="82">
        <f t="shared" si="99"/>
        <v>-5407</v>
      </c>
      <c r="M106" s="82">
        <f t="shared" si="99"/>
        <v>-16606</v>
      </c>
      <c r="N106" s="82">
        <f t="shared" si="99"/>
        <v>-22007</v>
      </c>
      <c r="O106" s="82">
        <f t="shared" si="99"/>
        <v>-14306</v>
      </c>
      <c r="P106" s="82">
        <f t="shared" si="99"/>
        <v>32404</v>
      </c>
      <c r="Q106" s="82">
        <f t="shared" si="99"/>
        <v>79287</v>
      </c>
      <c r="R106" s="82">
        <f t="shared" si="99"/>
        <v>-46883</v>
      </c>
      <c r="S106" s="63"/>
      <c r="T106" s="82">
        <f>SUM(T102:T104)</f>
        <v>38623</v>
      </c>
      <c r="U106" s="82">
        <f>SUM(U102:U104)</f>
        <v>46842</v>
      </c>
      <c r="V106" s="82">
        <f>SUM(V102:V104)</f>
        <v>-8219</v>
      </c>
      <c r="W106" s="63"/>
      <c r="X106" s="63"/>
      <c r="Y106" s="63"/>
      <c r="Z106" s="63"/>
      <c r="AA106" s="60" t="str">
        <f>A106</f>
        <v>Increase / (Decrease) in Total Obligations</v>
      </c>
      <c r="AB106" s="82">
        <f>SUM(AB102:AB104)</f>
        <v>32404</v>
      </c>
      <c r="AC106" s="82">
        <f>SUM(AC102:AC104)</f>
        <v>85323</v>
      </c>
      <c r="AD106" s="82">
        <f>SUM(AD102:AD104)</f>
        <v>-52919</v>
      </c>
      <c r="AE106" s="63"/>
      <c r="AF106" s="82">
        <f>SUM(AF102:AF104)</f>
        <v>38623</v>
      </c>
      <c r="AG106" s="82">
        <f>SUM(AG102:AG104)</f>
        <v>46842</v>
      </c>
      <c r="AH106" s="82">
        <f>SUM(AH102:AH104)</f>
        <v>-8219</v>
      </c>
      <c r="AI106" s="63"/>
      <c r="AJ106" s="82">
        <f>SUM(AJ102:AJ104)</f>
        <v>38481</v>
      </c>
      <c r="AK106" s="82">
        <f>SUM(AK102:AK104)</f>
        <v>-6219</v>
      </c>
      <c r="AL106" s="63"/>
      <c r="AM106" s="82">
        <f>SUM(AM102:AM104)</f>
        <v>19412</v>
      </c>
      <c r="AN106" s="82">
        <f>SUM(AN102:AN104)</f>
        <v>12992</v>
      </c>
      <c r="AO106" s="63"/>
      <c r="AP106" s="82">
        <f>SUM(AP102:AP104)</f>
        <v>67481</v>
      </c>
      <c r="AQ106" s="82">
        <f>SUM(AQ102:AQ104)</f>
        <v>17842</v>
      </c>
      <c r="AR106" s="63"/>
      <c r="AS106" s="63"/>
      <c r="AT106" s="63"/>
      <c r="AU106" s="63"/>
    </row>
    <row r="107" spans="1:47">
      <c r="A107" s="9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0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</row>
    <row r="108" spans="1:47">
      <c r="A108" s="9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0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</row>
    <row r="109" spans="1:47">
      <c r="A109" s="100" t="s">
        <v>250</v>
      </c>
      <c r="B109" s="63"/>
      <c r="C109" s="63"/>
      <c r="D109" s="75">
        <f t="shared" ref="D109:R109" si="100">D61-D106</f>
        <v>0</v>
      </c>
      <c r="E109" s="75">
        <f t="shared" si="100"/>
        <v>0</v>
      </c>
      <c r="F109" s="75">
        <f t="shared" si="100"/>
        <v>0</v>
      </c>
      <c r="G109" s="75">
        <f t="shared" si="100"/>
        <v>0</v>
      </c>
      <c r="H109" s="75">
        <f t="shared" si="100"/>
        <v>0</v>
      </c>
      <c r="I109" s="75">
        <f t="shared" si="100"/>
        <v>0</v>
      </c>
      <c r="J109" s="75">
        <f t="shared" si="100"/>
        <v>0</v>
      </c>
      <c r="K109" s="75">
        <f t="shared" si="100"/>
        <v>0</v>
      </c>
      <c r="L109" s="75">
        <f t="shared" si="100"/>
        <v>0</v>
      </c>
      <c r="M109" s="75">
        <f t="shared" si="100"/>
        <v>0</v>
      </c>
      <c r="N109" s="75">
        <f t="shared" si="100"/>
        <v>0</v>
      </c>
      <c r="O109" s="75">
        <f t="shared" si="100"/>
        <v>0</v>
      </c>
      <c r="P109" s="75">
        <f t="shared" si="100"/>
        <v>0</v>
      </c>
      <c r="Q109" s="75">
        <f t="shared" si="100"/>
        <v>0</v>
      </c>
      <c r="R109" s="75">
        <f t="shared" si="100"/>
        <v>0</v>
      </c>
      <c r="S109" s="63"/>
      <c r="T109" s="75">
        <f>T61-T106</f>
        <v>0</v>
      </c>
      <c r="U109" s="75">
        <f>U61-U106</f>
        <v>0</v>
      </c>
      <c r="V109" s="75">
        <f>V61-V106</f>
        <v>0</v>
      </c>
      <c r="W109" s="63"/>
      <c r="X109" s="63"/>
      <c r="Y109" s="63"/>
      <c r="Z109" s="63"/>
      <c r="AA109" s="63" t="str">
        <f>A109</f>
        <v xml:space="preserve">      CHECK #</v>
      </c>
      <c r="AB109" s="75">
        <f>AB61-AB106</f>
        <v>0</v>
      </c>
      <c r="AC109" s="75">
        <f>AC61-AC106</f>
        <v>0</v>
      </c>
      <c r="AD109" s="75">
        <f>AD61-AD106</f>
        <v>0</v>
      </c>
      <c r="AE109" s="63"/>
      <c r="AF109" s="75">
        <f>AF61-AF106</f>
        <v>0</v>
      </c>
      <c r="AG109" s="75">
        <f>AG61-AG106</f>
        <v>0</v>
      </c>
      <c r="AH109" s="75">
        <f>AH61-AH106</f>
        <v>0</v>
      </c>
      <c r="AI109" s="63"/>
      <c r="AJ109" s="75">
        <f>AJ61-AJ106</f>
        <v>0</v>
      </c>
      <c r="AK109" s="75">
        <f>AK61-AK106</f>
        <v>0</v>
      </c>
      <c r="AL109" s="63"/>
      <c r="AM109" s="75">
        <f>AM61-AM106</f>
        <v>0</v>
      </c>
      <c r="AN109" s="75">
        <f>AN61-AN106</f>
        <v>0</v>
      </c>
      <c r="AO109" s="63"/>
      <c r="AP109" s="75">
        <f>AP61-AP106</f>
        <v>0</v>
      </c>
      <c r="AQ109" s="75">
        <f>AQ61-AQ106</f>
        <v>0</v>
      </c>
      <c r="AR109" s="63"/>
      <c r="AS109" s="63"/>
      <c r="AT109" s="63"/>
      <c r="AU109" s="63"/>
    </row>
    <row r="110" spans="1:47">
      <c r="A110" s="9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0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</row>
    <row r="111" spans="1:47">
      <c r="A111" s="9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0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</row>
    <row r="112" spans="1:47">
      <c r="A112" s="100" t="s">
        <v>382</v>
      </c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 t="str">
        <f>A112</f>
        <v>Working Capital Changes</v>
      </c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</row>
    <row r="113" spans="1:47">
      <c r="A113" s="100" t="s">
        <v>385</v>
      </c>
      <c r="B113" s="63"/>
      <c r="C113" s="63"/>
      <c r="D113" s="80">
        <f t="shared" ref="D113:R113" si="101">SUM(D84:D86)</f>
        <v>52965</v>
      </c>
      <c r="E113" s="80">
        <f t="shared" si="101"/>
        <v>-44067</v>
      </c>
      <c r="F113" s="80">
        <f t="shared" si="101"/>
        <v>-6731</v>
      </c>
      <c r="G113" s="80">
        <f t="shared" si="101"/>
        <v>12272</v>
      </c>
      <c r="H113" s="80">
        <f t="shared" si="101"/>
        <v>218</v>
      </c>
      <c r="I113" s="80">
        <f t="shared" si="101"/>
        <v>-17032</v>
      </c>
      <c r="J113" s="80">
        <f t="shared" si="101"/>
        <v>5381</v>
      </c>
      <c r="K113" s="80">
        <f t="shared" si="101"/>
        <v>8364</v>
      </c>
      <c r="L113" s="80">
        <f t="shared" si="101"/>
        <v>-1428</v>
      </c>
      <c r="M113" s="80">
        <f t="shared" si="101"/>
        <v>329</v>
      </c>
      <c r="N113" s="80">
        <f t="shared" si="101"/>
        <v>-32511</v>
      </c>
      <c r="O113" s="80">
        <f t="shared" si="101"/>
        <v>-21766</v>
      </c>
      <c r="P113" s="80">
        <f t="shared" si="101"/>
        <v>-44006</v>
      </c>
      <c r="Q113" s="80">
        <f t="shared" si="101"/>
        <v>3006</v>
      </c>
      <c r="R113" s="80">
        <f t="shared" si="101"/>
        <v>-47012</v>
      </c>
      <c r="S113" s="63"/>
      <c r="T113" s="80">
        <f>SUM(T84:T86)</f>
        <v>-21109</v>
      </c>
      <c r="U113" s="80">
        <f>SUM(U84:U86)</f>
        <v>20466</v>
      </c>
      <c r="V113" s="80">
        <f>SUM(V84:V86)</f>
        <v>-41575</v>
      </c>
      <c r="W113" s="63"/>
      <c r="X113" s="63"/>
      <c r="Y113" s="63"/>
      <c r="Z113" s="63"/>
      <c r="AA113" s="63" t="str">
        <f>A113</f>
        <v xml:space="preserve">      Others, Net </v>
      </c>
      <c r="AB113" s="80">
        <f>SUM(AB84:AB86)</f>
        <v>-44006</v>
      </c>
      <c r="AC113" s="80">
        <f>SUM(AC84:AC86)</f>
        <v>9942</v>
      </c>
      <c r="AD113" s="80">
        <f>SUM(AD84:AD86)</f>
        <v>-53948</v>
      </c>
      <c r="AE113" s="63"/>
      <c r="AF113" s="80">
        <f>SUM(AF84:AF86)</f>
        <v>-21109</v>
      </c>
      <c r="AG113" s="80">
        <f>SUM(AG84:AG86)</f>
        <v>20466</v>
      </c>
      <c r="AH113" s="80">
        <f>SUM(AH84:AH86)</f>
        <v>-41575</v>
      </c>
      <c r="AI113" s="63"/>
      <c r="AJ113" s="80">
        <f>SUM(AJ84:AJ86)</f>
        <v>-10524</v>
      </c>
      <c r="AK113" s="80">
        <f>SUM(AK84:AK86)</f>
        <v>-22897</v>
      </c>
      <c r="AL113" s="63"/>
      <c r="AM113" s="80">
        <f>SUM(AM84:AM86)</f>
        <v>-35721</v>
      </c>
      <c r="AN113" s="80">
        <f>SUM(AN84:AN86)</f>
        <v>-8285</v>
      </c>
      <c r="AO113" s="63"/>
      <c r="AP113" s="80">
        <f>SUM(AP84:AP86)</f>
        <v>14102</v>
      </c>
      <c r="AQ113" s="80">
        <f>SUM(AQ84:AQ86)</f>
        <v>-4160</v>
      </c>
      <c r="AR113" s="63"/>
      <c r="AS113" s="63"/>
      <c r="AT113" s="63"/>
      <c r="AU113" s="63"/>
    </row>
    <row r="114" spans="1:47" ht="3.95" customHeight="1">
      <c r="A114" s="9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</row>
    <row r="115" spans="1:47">
      <c r="A115" s="100" t="s">
        <v>401</v>
      </c>
      <c r="B115" s="63"/>
      <c r="C115" s="63"/>
      <c r="D115" s="80">
        <f t="shared" ref="D115:R115" si="102">SUM(D113:D113)</f>
        <v>52965</v>
      </c>
      <c r="E115" s="80">
        <f t="shared" si="102"/>
        <v>-44067</v>
      </c>
      <c r="F115" s="80">
        <f t="shared" si="102"/>
        <v>-6731</v>
      </c>
      <c r="G115" s="80">
        <f t="shared" si="102"/>
        <v>12272</v>
      </c>
      <c r="H115" s="80">
        <f t="shared" si="102"/>
        <v>218</v>
      </c>
      <c r="I115" s="80">
        <f t="shared" si="102"/>
        <v>-17032</v>
      </c>
      <c r="J115" s="80">
        <f t="shared" si="102"/>
        <v>5381</v>
      </c>
      <c r="K115" s="80">
        <f t="shared" si="102"/>
        <v>8364</v>
      </c>
      <c r="L115" s="80">
        <f t="shared" si="102"/>
        <v>-1428</v>
      </c>
      <c r="M115" s="80">
        <f t="shared" si="102"/>
        <v>329</v>
      </c>
      <c r="N115" s="80">
        <f t="shared" si="102"/>
        <v>-32511</v>
      </c>
      <c r="O115" s="80">
        <f t="shared" si="102"/>
        <v>-21766</v>
      </c>
      <c r="P115" s="80">
        <f t="shared" si="102"/>
        <v>-44006</v>
      </c>
      <c r="Q115" s="80">
        <f t="shared" si="102"/>
        <v>3006</v>
      </c>
      <c r="R115" s="80">
        <f t="shared" si="102"/>
        <v>-47012</v>
      </c>
      <c r="S115" s="63"/>
      <c r="T115" s="80">
        <f>SUM(T113:T113)</f>
        <v>-21109</v>
      </c>
      <c r="U115" s="80">
        <f>SUM(U113:U113)</f>
        <v>20466</v>
      </c>
      <c r="V115" s="80">
        <f>SUM(V113:V113)</f>
        <v>-41575</v>
      </c>
      <c r="W115" s="63"/>
      <c r="X115" s="63"/>
      <c r="Y115" s="63"/>
      <c r="Z115" s="63"/>
      <c r="AA115" s="63" t="str">
        <f>A115</f>
        <v xml:space="preserve">         Total Working Capital Changes</v>
      </c>
      <c r="AB115" s="80">
        <f>SUM(AB113:AB113)</f>
        <v>-44006</v>
      </c>
      <c r="AC115" s="80">
        <f>SUM(AC113:AC113)</f>
        <v>9942</v>
      </c>
      <c r="AD115" s="80">
        <f>SUM(AD113:AD113)</f>
        <v>-53948</v>
      </c>
      <c r="AE115" s="63"/>
      <c r="AF115" s="80">
        <f>SUM(AF113:AF113)</f>
        <v>-21109</v>
      </c>
      <c r="AG115" s="80">
        <f>SUM(AG113:AG113)</f>
        <v>20466</v>
      </c>
      <c r="AH115" s="80">
        <f>SUM(AH113:AH113)</f>
        <v>-41575</v>
      </c>
      <c r="AI115" s="63"/>
      <c r="AJ115" s="80">
        <f>SUM(AJ113:AJ113)</f>
        <v>-10524</v>
      </c>
      <c r="AK115" s="80">
        <f>SUM(AK113:AK113)</f>
        <v>-22897</v>
      </c>
      <c r="AL115" s="63"/>
      <c r="AM115" s="80">
        <f>SUM(AM113:AM113)</f>
        <v>-35721</v>
      </c>
      <c r="AN115" s="80">
        <f>SUM(AN113:AN113)</f>
        <v>-8285</v>
      </c>
      <c r="AO115" s="63"/>
      <c r="AP115" s="80">
        <f>SUM(AP113:AP113)</f>
        <v>14102</v>
      </c>
      <c r="AQ115" s="80">
        <f>SUM(AQ113:AQ113)</f>
        <v>-4160</v>
      </c>
      <c r="AR115" s="63"/>
      <c r="AS115" s="63"/>
      <c r="AT115" s="63"/>
      <c r="AU115" s="63"/>
    </row>
    <row r="116" spans="1:47">
      <c r="A116" s="9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0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</row>
    <row r="117" spans="1:4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0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</row>
    <row r="118" spans="1:47" ht="8.1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0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</row>
    <row r="119" spans="1:47" ht="12.75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0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</row>
    <row r="120" spans="1:47" ht="12.75" customHeight="1">
      <c r="A120" s="64" t="str">
        <f ca="1">A1</f>
        <v>C:\Users\Felienne\Enron\EnronSpreadsheets\[tracy_geaccone__40393__NNG3rdCECF.xls]BACKUP</v>
      </c>
      <c r="B120" s="63"/>
      <c r="C120" s="63"/>
      <c r="D120" s="63"/>
      <c r="E120" s="63"/>
      <c r="F120" s="63"/>
      <c r="G120" s="63"/>
      <c r="H120" s="63"/>
      <c r="I120" s="102" t="str">
        <f>I1</f>
        <v>NORTHERN NATURAL GAS GROUP</v>
      </c>
      <c r="J120" s="161"/>
      <c r="K120" s="161"/>
      <c r="L120" s="161"/>
      <c r="M120" s="63"/>
      <c r="N120" s="63"/>
      <c r="O120" s="63"/>
      <c r="P120" s="63"/>
      <c r="Q120" s="63"/>
      <c r="R120" s="63"/>
      <c r="S120" s="63"/>
      <c r="T120" s="63"/>
      <c r="U120" s="63"/>
      <c r="V120" s="62">
        <f ca="1">NOW()</f>
        <v>41887.551206018521</v>
      </c>
      <c r="W120" s="63"/>
      <c r="X120" s="63"/>
      <c r="Y120" s="63"/>
      <c r="Z120" s="63"/>
      <c r="AA120" s="64" t="str">
        <f ca="1">A1</f>
        <v>C:\Users\Felienne\Enron\EnronSpreadsheets\[tracy_geaccone__40393__NNG3rdCECF.xls]BACKUP</v>
      </c>
      <c r="AB120" s="63"/>
      <c r="AC120" s="63"/>
      <c r="AD120" s="102" t="str">
        <f>I1</f>
        <v>NORTHERN NATURAL GAS GROUP</v>
      </c>
      <c r="AE120" s="161"/>
      <c r="AF120" s="161"/>
      <c r="AG120" s="161"/>
      <c r="AH120" s="63"/>
      <c r="AI120" s="63"/>
      <c r="AJ120" s="63"/>
      <c r="AK120" s="63"/>
      <c r="AL120" s="63"/>
      <c r="AM120" s="63"/>
      <c r="AN120" s="63"/>
      <c r="AO120" s="63"/>
      <c r="AP120" s="63"/>
      <c r="AQ120" s="62">
        <f ca="1">NOW()</f>
        <v>41887.551206018521</v>
      </c>
      <c r="AR120" s="63"/>
      <c r="AS120" s="63"/>
      <c r="AT120" s="63"/>
      <c r="AU120" s="63"/>
    </row>
    <row r="121" spans="1:47" ht="12.75" customHeight="1">
      <c r="A121" s="59" t="s">
        <v>402</v>
      </c>
      <c r="B121" s="63"/>
      <c r="C121" s="63"/>
      <c r="D121" s="63"/>
      <c r="E121" s="63"/>
      <c r="F121" s="63"/>
      <c r="G121" s="63"/>
      <c r="H121" s="63"/>
      <c r="I121" s="159" t="s">
        <v>403</v>
      </c>
      <c r="J121" s="161"/>
      <c r="K121" s="161"/>
      <c r="L121" s="161"/>
      <c r="M121" s="63"/>
      <c r="N121" s="63"/>
      <c r="O121" s="63"/>
      <c r="P121" s="63"/>
      <c r="Q121" s="63"/>
      <c r="R121" s="63"/>
      <c r="S121" s="63"/>
      <c r="T121" s="63"/>
      <c r="U121" s="63"/>
      <c r="V121" s="67">
        <f ca="1">NOW()</f>
        <v>41887.551206018521</v>
      </c>
      <c r="W121" s="63"/>
      <c r="X121" s="63"/>
      <c r="Y121" s="63"/>
      <c r="Z121" s="63"/>
      <c r="AA121" s="59" t="s">
        <v>404</v>
      </c>
      <c r="AB121" s="63"/>
      <c r="AC121" s="63"/>
      <c r="AD121" s="102" t="str">
        <f>I121</f>
        <v>FUNDS FLOW STATEMENT</v>
      </c>
      <c r="AE121" s="161"/>
      <c r="AF121" s="161"/>
      <c r="AG121" s="161"/>
      <c r="AH121" s="63"/>
      <c r="AI121" s="63"/>
      <c r="AJ121" s="63"/>
      <c r="AK121" s="63"/>
      <c r="AL121" s="63"/>
      <c r="AM121" s="63"/>
      <c r="AN121" s="63"/>
      <c r="AO121" s="63"/>
      <c r="AP121" s="63"/>
      <c r="AQ121" s="67">
        <f ca="1">NOW()</f>
        <v>41887.551206018521</v>
      </c>
      <c r="AR121" s="63"/>
      <c r="AS121" s="63"/>
      <c r="AT121" s="63"/>
      <c r="AU121" s="63"/>
    </row>
    <row r="122" spans="1:47" ht="12.75" customHeight="1">
      <c r="A122" s="63"/>
      <c r="B122" s="63"/>
      <c r="C122" s="63"/>
      <c r="D122" s="63"/>
      <c r="E122" s="63"/>
      <c r="F122" s="63"/>
      <c r="G122" s="63"/>
      <c r="H122" s="63"/>
      <c r="I122" s="102" t="str">
        <f>I3</f>
        <v>2001 ACTUAL / ESTIMATE</v>
      </c>
      <c r="J122" s="161"/>
      <c r="K122" s="161"/>
      <c r="L122" s="161"/>
      <c r="M122" s="63"/>
      <c r="N122" s="63"/>
      <c r="O122" s="63"/>
      <c r="P122" s="63"/>
      <c r="Q122" s="63"/>
      <c r="R122" s="63"/>
      <c r="S122" s="63"/>
      <c r="T122" s="63"/>
      <c r="U122" s="63"/>
      <c r="V122" s="208"/>
      <c r="W122" s="63"/>
      <c r="X122" s="63"/>
      <c r="Y122" s="63"/>
      <c r="Z122" s="63"/>
      <c r="AA122" s="60"/>
      <c r="AB122" s="63"/>
      <c r="AC122" s="63"/>
      <c r="AD122" s="102" t="str">
        <f>I3</f>
        <v>2001 ACTUAL / ESTIMATE</v>
      </c>
      <c r="AE122" s="161"/>
      <c r="AF122" s="161"/>
      <c r="AG122" s="161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</row>
    <row r="123" spans="1:47" ht="12.75" customHeight="1">
      <c r="A123" s="63"/>
      <c r="B123" s="63"/>
      <c r="C123" s="63"/>
      <c r="D123" s="63"/>
      <c r="E123" s="63"/>
      <c r="F123" s="63"/>
      <c r="G123" s="63"/>
      <c r="H123" s="63"/>
      <c r="I123" s="102" t="str">
        <f>I4</f>
        <v>(Thousands of Dollars)</v>
      </c>
      <c r="J123" s="161"/>
      <c r="K123" s="161"/>
      <c r="L123" s="161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0"/>
      <c r="AB123" s="63"/>
      <c r="AC123" s="63"/>
      <c r="AD123" s="102" t="str">
        <f>I4</f>
        <v>(Thousands of Dollars)</v>
      </c>
      <c r="AE123" s="161"/>
      <c r="AF123" s="161"/>
      <c r="AG123" s="161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</row>
    <row r="124" spans="1:47" ht="12.75" customHeight="1">
      <c r="A124" s="63"/>
      <c r="B124" s="63"/>
      <c r="C124" s="63"/>
      <c r="D124" s="71">
        <f t="shared" ref="D124:H126" si="103">D5</f>
        <v>0</v>
      </c>
      <c r="E124" s="71">
        <f t="shared" si="103"/>
        <v>0</v>
      </c>
      <c r="F124" s="71">
        <f t="shared" si="103"/>
        <v>0</v>
      </c>
      <c r="G124" s="71">
        <f t="shared" si="103"/>
        <v>0</v>
      </c>
      <c r="H124" s="71">
        <f t="shared" si="103"/>
        <v>0</v>
      </c>
      <c r="I124" s="71">
        <f>I5</f>
        <v>0</v>
      </c>
      <c r="J124" s="71">
        <f t="shared" ref="J124:O126" si="104">J5</f>
        <v>0</v>
      </c>
      <c r="K124" s="71" t="str">
        <f t="shared" si="104"/>
        <v>PRE</v>
      </c>
      <c r="L124" s="71">
        <f t="shared" si="104"/>
        <v>0</v>
      </c>
      <c r="M124" s="71">
        <f t="shared" si="104"/>
        <v>0</v>
      </c>
      <c r="N124" s="71">
        <f t="shared" si="104"/>
        <v>0</v>
      </c>
      <c r="O124" s="71">
        <f t="shared" si="104"/>
        <v>0</v>
      </c>
      <c r="P124" s="63"/>
      <c r="Q124" s="63"/>
      <c r="R124" s="63"/>
      <c r="S124" s="63"/>
      <c r="T124" s="71">
        <f>T5</f>
        <v>0</v>
      </c>
      <c r="U124" s="63"/>
      <c r="V124" s="71">
        <f>V5</f>
        <v>0</v>
      </c>
      <c r="W124" s="63"/>
      <c r="X124" s="63"/>
      <c r="Y124" s="63"/>
      <c r="Z124" s="63"/>
      <c r="AA124" s="60"/>
      <c r="AB124" s="63"/>
      <c r="AC124" s="63"/>
      <c r="AD124" s="63"/>
      <c r="AE124" s="63"/>
      <c r="AF124" s="71">
        <f>AF5</f>
        <v>0</v>
      </c>
      <c r="AG124" s="63"/>
      <c r="AH124" s="71">
        <f>AH5</f>
        <v>0</v>
      </c>
      <c r="AI124" s="63"/>
      <c r="AJ124" s="63"/>
      <c r="AK124" s="71">
        <f>AK5</f>
        <v>0</v>
      </c>
      <c r="AL124" s="63"/>
      <c r="AM124" s="63"/>
      <c r="AN124" s="63"/>
      <c r="AO124" s="63"/>
      <c r="AP124" s="205"/>
      <c r="AQ124" s="161"/>
      <c r="AR124" s="63"/>
      <c r="AS124" s="63"/>
      <c r="AT124" s="63"/>
      <c r="AU124" s="63"/>
    </row>
    <row r="125" spans="1:47" ht="12.75" customHeight="1">
      <c r="A125" s="63"/>
      <c r="B125" s="63"/>
      <c r="C125" s="63"/>
      <c r="D125" s="71" t="str">
        <f t="shared" si="103"/>
        <v>ACT.</v>
      </c>
      <c r="E125" s="71" t="str">
        <f t="shared" si="103"/>
        <v>ACT.</v>
      </c>
      <c r="F125" s="71" t="str">
        <f t="shared" si="103"/>
        <v>ACT.</v>
      </c>
      <c r="G125" s="71" t="str">
        <f t="shared" si="103"/>
        <v>ACT.</v>
      </c>
      <c r="H125" s="71" t="str">
        <f t="shared" si="103"/>
        <v>ACT.</v>
      </c>
      <c r="I125" s="71" t="str">
        <f>I6</f>
        <v>ACT.</v>
      </c>
      <c r="J125" s="71" t="str">
        <f t="shared" si="104"/>
        <v>ACT.</v>
      </c>
      <c r="K125" s="71" t="str">
        <f t="shared" si="104"/>
        <v>ACT.</v>
      </c>
      <c r="L125" s="71" t="str">
        <f t="shared" si="104"/>
        <v>3rd CE</v>
      </c>
      <c r="M125" s="71" t="str">
        <f t="shared" si="104"/>
        <v>3rd CE</v>
      </c>
      <c r="N125" s="71" t="str">
        <f t="shared" si="104"/>
        <v>3rd CE</v>
      </c>
      <c r="O125" s="71" t="str">
        <f t="shared" si="104"/>
        <v>3rd CE</v>
      </c>
      <c r="P125" s="71" t="str">
        <f t="shared" ref="P125:R126" si="105">P6</f>
        <v>TOTAL</v>
      </c>
      <c r="Q125" s="71" t="str">
        <f t="shared" si="105"/>
        <v>JULY</v>
      </c>
      <c r="R125" s="71" t="str">
        <f t="shared" si="105"/>
        <v>ESTIMATED</v>
      </c>
      <c r="S125" s="63"/>
      <c r="T125" s="71" t="str">
        <f>T6</f>
        <v>PLAN</v>
      </c>
      <c r="U125" s="71" t="str">
        <f>U6</f>
        <v>SEPT.</v>
      </c>
      <c r="V125" s="71" t="str">
        <f>V6</f>
        <v>PLAN</v>
      </c>
      <c r="W125" s="63"/>
      <c r="X125" s="63"/>
      <c r="Y125" s="63"/>
      <c r="Z125" s="63"/>
      <c r="AA125" s="60"/>
      <c r="AB125" s="71" t="str">
        <f t="shared" ref="AB125:AD126" si="106">AB6</f>
        <v>TOTAL</v>
      </c>
      <c r="AC125" s="71" t="str">
        <f t="shared" si="106"/>
        <v>SEPT.</v>
      </c>
      <c r="AD125" s="71" t="str">
        <f t="shared" si="106"/>
        <v>ESTIMATED</v>
      </c>
      <c r="AE125" s="63"/>
      <c r="AF125" s="71" t="str">
        <f>AF6</f>
        <v>PLAN</v>
      </c>
      <c r="AG125" s="71" t="str">
        <f>AG6</f>
        <v>SEPT.</v>
      </c>
      <c r="AH125" s="71" t="str">
        <f>AH6</f>
        <v>PLAN</v>
      </c>
      <c r="AI125" s="63"/>
      <c r="AJ125" s="206" t="str">
        <f>AJ6</f>
        <v>ACT./EST. vs. PLAN</v>
      </c>
      <c r="AK125" s="206"/>
      <c r="AL125" s="71"/>
      <c r="AM125" s="206" t="str">
        <f>AM6</f>
        <v>2nd C.E.</v>
      </c>
      <c r="AN125" s="206"/>
      <c r="AO125" s="63"/>
      <c r="AP125" s="206" t="str">
        <f>AP6</f>
        <v>Sept. YTD</v>
      </c>
      <c r="AQ125" s="206"/>
      <c r="AR125" s="63"/>
      <c r="AS125" s="63"/>
      <c r="AT125" s="63"/>
      <c r="AU125" s="63"/>
    </row>
    <row r="126" spans="1:47" ht="12.75" customHeight="1">
      <c r="A126" s="63"/>
      <c r="B126" s="63"/>
      <c r="C126" s="63"/>
      <c r="D126" s="73" t="str">
        <f t="shared" si="103"/>
        <v>JAN</v>
      </c>
      <c r="E126" s="73" t="str">
        <f t="shared" si="103"/>
        <v>FEB</v>
      </c>
      <c r="F126" s="73" t="str">
        <f t="shared" si="103"/>
        <v>MAR</v>
      </c>
      <c r="G126" s="73" t="str">
        <f t="shared" si="103"/>
        <v>APR</v>
      </c>
      <c r="H126" s="73" t="str">
        <f t="shared" si="103"/>
        <v>MAY</v>
      </c>
      <c r="I126" s="73" t="str">
        <f>I7</f>
        <v>JUN</v>
      </c>
      <c r="J126" s="73" t="str">
        <f t="shared" si="104"/>
        <v>JUL</v>
      </c>
      <c r="K126" s="73" t="str">
        <f t="shared" si="104"/>
        <v>AUG</v>
      </c>
      <c r="L126" s="73" t="str">
        <f t="shared" si="104"/>
        <v>SEP</v>
      </c>
      <c r="M126" s="73" t="str">
        <f t="shared" si="104"/>
        <v>OCT</v>
      </c>
      <c r="N126" s="73" t="str">
        <f t="shared" si="104"/>
        <v>NOV</v>
      </c>
      <c r="O126" s="73" t="str">
        <f t="shared" si="104"/>
        <v>DEC</v>
      </c>
      <c r="P126" s="73">
        <f t="shared" si="105"/>
        <v>2001</v>
      </c>
      <c r="Q126" s="73" t="str">
        <f t="shared" si="105"/>
        <v>Y-T-D</v>
      </c>
      <c r="R126" s="73" t="str">
        <f t="shared" si="105"/>
        <v>R.M.</v>
      </c>
      <c r="S126" s="63"/>
      <c r="T126" s="73">
        <f>T7</f>
        <v>2001</v>
      </c>
      <c r="U126" s="73" t="str">
        <f>U7</f>
        <v>Y-T-D</v>
      </c>
      <c r="V126" s="73" t="str">
        <f>V7</f>
        <v>R.M.</v>
      </c>
      <c r="W126" s="63"/>
      <c r="X126" s="63"/>
      <c r="Y126" s="63"/>
      <c r="Z126" s="63"/>
      <c r="AA126" s="60"/>
      <c r="AB126" s="73">
        <f t="shared" si="106"/>
        <v>2001</v>
      </c>
      <c r="AC126" s="73" t="str">
        <f t="shared" si="106"/>
        <v>Y-T-D</v>
      </c>
      <c r="AD126" s="73" t="str">
        <f t="shared" si="106"/>
        <v>R.M.</v>
      </c>
      <c r="AE126" s="63"/>
      <c r="AF126" s="73">
        <f>AF7</f>
        <v>2001</v>
      </c>
      <c r="AG126" s="73" t="str">
        <f>AG7</f>
        <v>Y-T-D</v>
      </c>
      <c r="AH126" s="73" t="str">
        <f>AH7</f>
        <v>R.M.</v>
      </c>
      <c r="AI126" s="63"/>
      <c r="AJ126" s="73" t="str">
        <f>AJ7</f>
        <v>Y-T-D</v>
      </c>
      <c r="AK126" s="73" t="str">
        <f>AK7</f>
        <v>ANNUAL</v>
      </c>
      <c r="AL126" s="73"/>
      <c r="AM126" s="73" t="str">
        <f>AM7</f>
        <v>ANNUAL</v>
      </c>
      <c r="AN126" s="73" t="str">
        <f>AN7</f>
        <v>Variance</v>
      </c>
      <c r="AO126" s="63"/>
      <c r="AP126" s="73" t="str">
        <f>AP7</f>
        <v>2nd C.E.</v>
      </c>
      <c r="AQ126" s="73" t="str">
        <f>AQ7</f>
        <v>Variance</v>
      </c>
      <c r="AR126" s="63"/>
      <c r="AS126" s="63"/>
      <c r="AT126" s="63"/>
      <c r="AU126" s="63"/>
    </row>
    <row r="127" spans="1:47" ht="12.75" customHeight="1">
      <c r="A127" s="60" t="str">
        <f>A8</f>
        <v>CASH FLOW FROM OPERATING ACTIVITIES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0" t="str">
        <f t="shared" ref="AA127:AA132" si="107">A127</f>
        <v>CASH FLOW FROM OPERATING ACTIVITIES</v>
      </c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</row>
    <row r="128" spans="1:47" ht="12.75" customHeight="1">
      <c r="A128" s="63" t="str">
        <f>A9</f>
        <v xml:space="preserve">   Net Income </v>
      </c>
      <c r="B128" s="63"/>
      <c r="C128" s="63"/>
      <c r="D128" s="108">
        <f t="shared" ref="D128:R128" si="108">D9</f>
        <v>19634</v>
      </c>
      <c r="E128" s="108">
        <f t="shared" si="108"/>
        <v>18785</v>
      </c>
      <c r="F128" s="108">
        <f t="shared" si="108"/>
        <v>17695</v>
      </c>
      <c r="G128" s="108">
        <f t="shared" si="108"/>
        <v>3079</v>
      </c>
      <c r="H128" s="108">
        <f t="shared" si="108"/>
        <v>992</v>
      </c>
      <c r="I128" s="108">
        <f t="shared" si="108"/>
        <v>2966</v>
      </c>
      <c r="J128" s="108">
        <f t="shared" si="108"/>
        <v>1548</v>
      </c>
      <c r="K128" s="108">
        <f t="shared" si="108"/>
        <v>2474</v>
      </c>
      <c r="L128" s="108">
        <f t="shared" si="108"/>
        <v>646</v>
      </c>
      <c r="M128" s="108">
        <f t="shared" si="108"/>
        <v>-1185</v>
      </c>
      <c r="N128" s="108">
        <f t="shared" si="108"/>
        <v>16351</v>
      </c>
      <c r="O128" s="179">
        <f t="shared" si="108"/>
        <v>16756</v>
      </c>
      <c r="P128" s="108">
        <f t="shared" si="108"/>
        <v>99741</v>
      </c>
      <c r="Q128" s="108">
        <f t="shared" si="108"/>
        <v>64699</v>
      </c>
      <c r="R128" s="108">
        <f t="shared" si="108"/>
        <v>35042</v>
      </c>
      <c r="S128" s="63"/>
      <c r="T128" s="108">
        <f>T9</f>
        <v>101324</v>
      </c>
      <c r="U128" s="108">
        <f>U9</f>
        <v>64319</v>
      </c>
      <c r="V128" s="108">
        <f>V9</f>
        <v>37005</v>
      </c>
      <c r="W128" s="63"/>
      <c r="X128" s="63"/>
      <c r="Y128" s="63"/>
      <c r="Z128" s="63"/>
      <c r="AA128" s="63" t="str">
        <f t="shared" si="107"/>
        <v xml:space="preserve">   Net Income </v>
      </c>
      <c r="AB128" s="108">
        <f>P128</f>
        <v>99741</v>
      </c>
      <c r="AC128" s="108">
        <f>AC9</f>
        <v>67819</v>
      </c>
      <c r="AD128" s="75">
        <f>AB128-AC128</f>
        <v>31922</v>
      </c>
      <c r="AE128" s="63"/>
      <c r="AF128" s="75">
        <f>T128</f>
        <v>101324</v>
      </c>
      <c r="AG128" s="108">
        <f>AG9</f>
        <v>64319</v>
      </c>
      <c r="AH128" s="75">
        <f>AF128-AG128</f>
        <v>37005</v>
      </c>
      <c r="AI128" s="63"/>
      <c r="AJ128" s="75">
        <f>AC128-AG128</f>
        <v>3500</v>
      </c>
      <c r="AK128" s="75">
        <f>AB128-AF128</f>
        <v>-1583</v>
      </c>
      <c r="AL128" s="63"/>
      <c r="AM128" s="108">
        <f>AM9</f>
        <v>104819</v>
      </c>
      <c r="AN128" s="75">
        <f>AB128-AM128</f>
        <v>-5078</v>
      </c>
      <c r="AO128" s="63"/>
      <c r="AP128" s="108">
        <f>AP9</f>
        <v>66848</v>
      </c>
      <c r="AQ128" s="75">
        <f>AC128-AP128</f>
        <v>971</v>
      </c>
      <c r="AR128" s="63"/>
      <c r="AS128" s="63"/>
      <c r="AT128" s="63"/>
      <c r="AU128" s="63"/>
    </row>
    <row r="129" spans="1:47" ht="12.75" customHeight="1">
      <c r="A129" s="106" t="s">
        <v>405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 t="str">
        <f t="shared" si="107"/>
        <v xml:space="preserve">   Items not affecting Cash:</v>
      </c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</row>
    <row r="130" spans="1:47" ht="12.75" customHeight="1">
      <c r="A130" s="63" t="str">
        <f>A11</f>
        <v xml:space="preserve">      Depreciation and Amortization</v>
      </c>
      <c r="B130" s="63"/>
      <c r="C130" s="63"/>
      <c r="D130" s="108">
        <f t="shared" ref="D130:R130" si="109">D11</f>
        <v>3841</v>
      </c>
      <c r="E130" s="108">
        <f t="shared" si="109"/>
        <v>3853</v>
      </c>
      <c r="F130" s="108">
        <f t="shared" si="109"/>
        <v>3900</v>
      </c>
      <c r="G130" s="108">
        <f t="shared" si="109"/>
        <v>3811</v>
      </c>
      <c r="H130" s="108">
        <f t="shared" si="109"/>
        <v>3755</v>
      </c>
      <c r="I130" s="108">
        <f t="shared" si="109"/>
        <v>3999</v>
      </c>
      <c r="J130" s="108">
        <f t="shared" si="109"/>
        <v>3851</v>
      </c>
      <c r="K130" s="108">
        <f t="shared" si="109"/>
        <v>3855</v>
      </c>
      <c r="L130" s="108">
        <f t="shared" si="109"/>
        <v>3900</v>
      </c>
      <c r="M130" s="108">
        <f t="shared" si="109"/>
        <v>5200</v>
      </c>
      <c r="N130" s="108">
        <f t="shared" si="109"/>
        <v>3950</v>
      </c>
      <c r="O130" s="108">
        <f t="shared" si="109"/>
        <v>4000</v>
      </c>
      <c r="P130" s="108">
        <f t="shared" si="109"/>
        <v>47915</v>
      </c>
      <c r="Q130" s="108">
        <f t="shared" si="109"/>
        <v>27010</v>
      </c>
      <c r="R130" s="108">
        <f t="shared" si="109"/>
        <v>20905</v>
      </c>
      <c r="S130" s="63"/>
      <c r="T130" s="108">
        <f>T11</f>
        <v>49600</v>
      </c>
      <c r="U130" s="108">
        <f>U11</f>
        <v>37947</v>
      </c>
      <c r="V130" s="108">
        <f>V11</f>
        <v>11653</v>
      </c>
      <c r="W130" s="63"/>
      <c r="X130" s="63"/>
      <c r="Y130" s="63"/>
      <c r="Z130" s="63"/>
      <c r="AA130" s="63" t="str">
        <f t="shared" si="107"/>
        <v xml:space="preserve">      Depreciation and Amortization</v>
      </c>
      <c r="AB130" s="108">
        <f>P130</f>
        <v>47915</v>
      </c>
      <c r="AC130" s="108">
        <f>AC11</f>
        <v>34765</v>
      </c>
      <c r="AD130" s="75">
        <f>AB130-AC130</f>
        <v>13150</v>
      </c>
      <c r="AE130" s="63"/>
      <c r="AF130" s="75">
        <f>T130</f>
        <v>49600</v>
      </c>
      <c r="AG130" s="108">
        <f>AG11</f>
        <v>37947</v>
      </c>
      <c r="AH130" s="75">
        <f>AF130-AG130</f>
        <v>11653</v>
      </c>
      <c r="AI130" s="63"/>
      <c r="AJ130" s="75">
        <f>AC130-AG130</f>
        <v>-3182</v>
      </c>
      <c r="AK130" s="75">
        <f>AB130-AF130</f>
        <v>-1685</v>
      </c>
      <c r="AL130" s="63"/>
      <c r="AM130" s="108">
        <f>AM11</f>
        <v>48059</v>
      </c>
      <c r="AN130" s="75">
        <f>AB130-AM130</f>
        <v>-144</v>
      </c>
      <c r="AO130" s="63"/>
      <c r="AP130" s="108">
        <f>AP11</f>
        <v>35159</v>
      </c>
      <c r="AQ130" s="75">
        <f>AC130-AP130</f>
        <v>-394</v>
      </c>
      <c r="AR130" s="63"/>
      <c r="AS130" s="63"/>
      <c r="AT130" s="63"/>
      <c r="AU130" s="63"/>
    </row>
    <row r="131" spans="1:47" ht="12.75" customHeight="1">
      <c r="A131" s="106" t="s">
        <v>406</v>
      </c>
      <c r="B131" s="63"/>
      <c r="C131" s="63"/>
      <c r="D131" s="108">
        <f>D13</f>
        <v>3262</v>
      </c>
      <c r="E131" s="108">
        <f t="shared" ref="E131:V131" si="110">E13</f>
        <v>150</v>
      </c>
      <c r="F131" s="108">
        <f t="shared" si="110"/>
        <v>-1147</v>
      </c>
      <c r="G131" s="108">
        <f t="shared" si="110"/>
        <v>23341</v>
      </c>
      <c r="H131" s="108">
        <f t="shared" si="110"/>
        <v>1575</v>
      </c>
      <c r="I131" s="108">
        <f t="shared" si="110"/>
        <v>-2983</v>
      </c>
      <c r="J131" s="108">
        <f t="shared" si="110"/>
        <v>860</v>
      </c>
      <c r="K131" s="108">
        <f t="shared" si="110"/>
        <v>3339</v>
      </c>
      <c r="L131" s="108">
        <f t="shared" si="110"/>
        <v>2207</v>
      </c>
      <c r="M131" s="108">
        <f t="shared" si="110"/>
        <v>-11814</v>
      </c>
      <c r="N131" s="108">
        <f t="shared" si="110"/>
        <v>-1321</v>
      </c>
      <c r="O131" s="108">
        <f t="shared" si="110"/>
        <v>659</v>
      </c>
      <c r="P131" s="108">
        <f t="shared" si="110"/>
        <v>18128</v>
      </c>
      <c r="Q131" s="108">
        <f t="shared" si="110"/>
        <v>25058</v>
      </c>
      <c r="R131" s="108">
        <f t="shared" si="110"/>
        <v>-6930</v>
      </c>
      <c r="S131" s="63"/>
      <c r="T131" s="108">
        <f t="shared" si="110"/>
        <v>7119</v>
      </c>
      <c r="U131" s="108">
        <f t="shared" si="110"/>
        <v>6786</v>
      </c>
      <c r="V131" s="108">
        <f t="shared" si="110"/>
        <v>333</v>
      </c>
      <c r="W131" s="63"/>
      <c r="X131" s="63"/>
      <c r="Y131" s="63"/>
      <c r="Z131" s="63"/>
      <c r="AA131" s="63" t="str">
        <f t="shared" si="107"/>
        <v xml:space="preserve">      Deferred Income Taxes</v>
      </c>
      <c r="AB131" s="108">
        <f>P131</f>
        <v>18128</v>
      </c>
      <c r="AC131" s="108">
        <f>AC13</f>
        <v>30604</v>
      </c>
      <c r="AD131" s="75">
        <f>AB131-AC131</f>
        <v>-12476</v>
      </c>
      <c r="AE131" s="63"/>
      <c r="AF131" s="75">
        <f>T131</f>
        <v>7119</v>
      </c>
      <c r="AG131" s="108">
        <f>AG13</f>
        <v>6786</v>
      </c>
      <c r="AH131" s="75">
        <f>AF131-AG131</f>
        <v>333</v>
      </c>
      <c r="AI131" s="63"/>
      <c r="AJ131" s="75">
        <f>AC131-AG131</f>
        <v>23818</v>
      </c>
      <c r="AK131" s="75">
        <f>AB131-AF131</f>
        <v>11009</v>
      </c>
      <c r="AL131" s="63"/>
      <c r="AM131" s="108">
        <f>AM13</f>
        <v>16432</v>
      </c>
      <c r="AN131" s="75">
        <f>AB131-AM131</f>
        <v>1696</v>
      </c>
      <c r="AO131" s="63"/>
      <c r="AP131" s="108">
        <f>AP13</f>
        <v>28314</v>
      </c>
      <c r="AQ131" s="75">
        <f>AC131-AP131</f>
        <v>2290</v>
      </c>
      <c r="AR131" s="63"/>
      <c r="AS131" s="63"/>
      <c r="AT131" s="63"/>
      <c r="AU131" s="63"/>
    </row>
    <row r="132" spans="1:47" ht="12.75" customHeight="1">
      <c r="A132" s="106" t="s">
        <v>407</v>
      </c>
      <c r="B132" s="63"/>
      <c r="C132" s="63"/>
      <c r="D132" s="109">
        <f t="shared" ref="D132:R132" si="111">D32</f>
        <v>267</v>
      </c>
      <c r="E132" s="109">
        <f t="shared" si="111"/>
        <v>-259</v>
      </c>
      <c r="F132" s="109">
        <f t="shared" si="111"/>
        <v>-8</v>
      </c>
      <c r="G132" s="109">
        <f t="shared" si="111"/>
        <v>0</v>
      </c>
      <c r="H132" s="109">
        <f t="shared" si="111"/>
        <v>0</v>
      </c>
      <c r="I132" s="109">
        <f t="shared" si="111"/>
        <v>-553</v>
      </c>
      <c r="J132" s="109">
        <f t="shared" si="111"/>
        <v>0</v>
      </c>
      <c r="K132" s="109">
        <f t="shared" si="111"/>
        <v>0</v>
      </c>
      <c r="L132" s="109">
        <f t="shared" si="111"/>
        <v>0</v>
      </c>
      <c r="M132" s="109">
        <f t="shared" si="111"/>
        <v>0</v>
      </c>
      <c r="N132" s="109">
        <f t="shared" si="111"/>
        <v>0</v>
      </c>
      <c r="O132" s="109">
        <f t="shared" si="111"/>
        <v>-2300</v>
      </c>
      <c r="P132" s="109">
        <f t="shared" si="111"/>
        <v>-2853</v>
      </c>
      <c r="Q132" s="109">
        <f t="shared" si="111"/>
        <v>-553</v>
      </c>
      <c r="R132" s="109">
        <f t="shared" si="111"/>
        <v>-2300</v>
      </c>
      <c r="S132" s="81"/>
      <c r="T132" s="109">
        <f>T32</f>
        <v>-9900</v>
      </c>
      <c r="U132" s="109">
        <f>U32</f>
        <v>-9900</v>
      </c>
      <c r="V132" s="109">
        <f>V32</f>
        <v>0</v>
      </c>
      <c r="W132" s="63"/>
      <c r="X132" s="63"/>
      <c r="Y132" s="63"/>
      <c r="Z132" s="63"/>
      <c r="AA132" s="63" t="str">
        <f t="shared" si="107"/>
        <v xml:space="preserve">      Net (Gain) / Loss on Sale of Assets</v>
      </c>
      <c r="AB132" s="109">
        <f>P132</f>
        <v>-2853</v>
      </c>
      <c r="AC132" s="109">
        <f>AC32</f>
        <v>-553</v>
      </c>
      <c r="AD132" s="80">
        <f>AB132-AC132</f>
        <v>-2300</v>
      </c>
      <c r="AE132" s="81"/>
      <c r="AF132" s="80">
        <f>T132</f>
        <v>-9900</v>
      </c>
      <c r="AG132" s="109">
        <f>AG32</f>
        <v>-9900</v>
      </c>
      <c r="AH132" s="80">
        <f>AF132-AG132</f>
        <v>0</v>
      </c>
      <c r="AI132" s="81"/>
      <c r="AJ132" s="80">
        <f>AC132-AG132</f>
        <v>9347</v>
      </c>
      <c r="AK132" s="80">
        <f>AB132-AF132</f>
        <v>7047</v>
      </c>
      <c r="AL132" s="81"/>
      <c r="AM132" s="109">
        <f>AM32</f>
        <v>-10500</v>
      </c>
      <c r="AN132" s="80">
        <f>AB132-AM132</f>
        <v>7647</v>
      </c>
      <c r="AO132" s="81"/>
      <c r="AP132" s="109">
        <f>AP32</f>
        <v>-600</v>
      </c>
      <c r="AQ132" s="80">
        <f>AC132-AP132</f>
        <v>47</v>
      </c>
      <c r="AR132" s="63"/>
      <c r="AS132" s="63"/>
      <c r="AT132" s="63"/>
      <c r="AU132" s="63"/>
    </row>
    <row r="133" spans="1:47" ht="3.95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0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</row>
    <row r="134" spans="1:47" ht="12.75" customHeight="1">
      <c r="A134" s="207" t="str">
        <f>A81</f>
        <v xml:space="preserve">            Total Cash Flow From Operations</v>
      </c>
      <c r="B134" s="63"/>
      <c r="C134" s="63"/>
      <c r="D134" s="108">
        <f>SUM(D128:D132)</f>
        <v>27004</v>
      </c>
      <c r="E134" s="108">
        <f t="shared" ref="E134:V134" si="112">SUM(E128:E132)</f>
        <v>22529</v>
      </c>
      <c r="F134" s="108">
        <f t="shared" si="112"/>
        <v>20440</v>
      </c>
      <c r="G134" s="108">
        <f t="shared" si="112"/>
        <v>30231</v>
      </c>
      <c r="H134" s="108">
        <f t="shared" si="112"/>
        <v>6322</v>
      </c>
      <c r="I134" s="108">
        <f t="shared" si="112"/>
        <v>3429</v>
      </c>
      <c r="J134" s="108">
        <f t="shared" si="112"/>
        <v>6259</v>
      </c>
      <c r="K134" s="108">
        <f t="shared" si="112"/>
        <v>9668</v>
      </c>
      <c r="L134" s="108">
        <f t="shared" si="112"/>
        <v>6753</v>
      </c>
      <c r="M134" s="108">
        <f t="shared" si="112"/>
        <v>-7799</v>
      </c>
      <c r="N134" s="108">
        <f t="shared" si="112"/>
        <v>18980</v>
      </c>
      <c r="O134" s="108">
        <f t="shared" si="112"/>
        <v>19115</v>
      </c>
      <c r="P134" s="108">
        <f t="shared" si="112"/>
        <v>162931</v>
      </c>
      <c r="Q134" s="108">
        <f t="shared" si="112"/>
        <v>116214</v>
      </c>
      <c r="R134" s="108">
        <f t="shared" si="112"/>
        <v>46717</v>
      </c>
      <c r="S134" s="63"/>
      <c r="T134" s="108">
        <f t="shared" si="112"/>
        <v>148143</v>
      </c>
      <c r="U134" s="108">
        <f t="shared" si="112"/>
        <v>99152</v>
      </c>
      <c r="V134" s="108">
        <f t="shared" si="112"/>
        <v>48991</v>
      </c>
      <c r="W134" s="63"/>
      <c r="X134" s="63"/>
      <c r="Y134" s="63"/>
      <c r="Z134" s="63"/>
      <c r="AA134" s="63" t="str">
        <f>A134</f>
        <v xml:space="preserve">            Total Cash Flow From Operations</v>
      </c>
      <c r="AB134" s="108">
        <f>SUM(AB128:AB132)</f>
        <v>162931</v>
      </c>
      <c r="AC134" s="108">
        <f>SUM(AC128:AC132)</f>
        <v>132635</v>
      </c>
      <c r="AD134" s="108">
        <f>SUM(AD128:AD132)</f>
        <v>30296</v>
      </c>
      <c r="AE134" s="108"/>
      <c r="AF134" s="108">
        <f t="shared" ref="AF134:AQ134" si="113">SUM(AF128:AF132)</f>
        <v>148143</v>
      </c>
      <c r="AG134" s="108">
        <f t="shared" si="113"/>
        <v>99152</v>
      </c>
      <c r="AH134" s="108">
        <f t="shared" si="113"/>
        <v>48991</v>
      </c>
      <c r="AI134" s="63"/>
      <c r="AJ134" s="108">
        <f t="shared" si="113"/>
        <v>33483</v>
      </c>
      <c r="AK134" s="108">
        <f t="shared" si="113"/>
        <v>14788</v>
      </c>
      <c r="AL134" s="63"/>
      <c r="AM134" s="108">
        <f t="shared" si="113"/>
        <v>158810</v>
      </c>
      <c r="AN134" s="108">
        <f t="shared" si="113"/>
        <v>4121</v>
      </c>
      <c r="AO134" s="63"/>
      <c r="AP134" s="108">
        <f t="shared" si="113"/>
        <v>129721</v>
      </c>
      <c r="AQ134" s="108">
        <f t="shared" si="113"/>
        <v>2914</v>
      </c>
      <c r="AR134" s="63"/>
      <c r="AS134" s="63"/>
      <c r="AT134" s="63"/>
      <c r="AU134" s="63"/>
    </row>
    <row r="135" spans="1:47" ht="3.95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0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</row>
    <row r="136" spans="1:47" ht="12.75" customHeight="1">
      <c r="A136" s="63" t="str">
        <f>A28</f>
        <v xml:space="preserve">   Deferred Severance / Relocation Charges</v>
      </c>
      <c r="B136" s="63"/>
      <c r="C136" s="63"/>
      <c r="D136" s="108">
        <f t="shared" ref="D136:R136" si="114">D28</f>
        <v>0</v>
      </c>
      <c r="E136" s="108">
        <f t="shared" si="114"/>
        <v>0</v>
      </c>
      <c r="F136" s="108">
        <f t="shared" si="114"/>
        <v>0</v>
      </c>
      <c r="G136" s="108">
        <f t="shared" si="114"/>
        <v>0</v>
      </c>
      <c r="H136" s="108">
        <f t="shared" si="114"/>
        <v>0</v>
      </c>
      <c r="I136" s="108">
        <f t="shared" si="114"/>
        <v>0</v>
      </c>
      <c r="J136" s="108">
        <f t="shared" si="114"/>
        <v>0</v>
      </c>
      <c r="K136" s="108">
        <f t="shared" si="114"/>
        <v>0</v>
      </c>
      <c r="L136" s="108">
        <f t="shared" si="114"/>
        <v>0</v>
      </c>
      <c r="M136" s="108">
        <f t="shared" si="114"/>
        <v>0</v>
      </c>
      <c r="N136" s="108">
        <f t="shared" si="114"/>
        <v>0</v>
      </c>
      <c r="O136" s="108">
        <f t="shared" si="114"/>
        <v>0</v>
      </c>
      <c r="P136" s="108">
        <f t="shared" si="114"/>
        <v>0</v>
      </c>
      <c r="Q136" s="108">
        <f t="shared" si="114"/>
        <v>0</v>
      </c>
      <c r="R136" s="108">
        <f t="shared" si="114"/>
        <v>0</v>
      </c>
      <c r="S136" s="63"/>
      <c r="T136" s="108">
        <f>T28</f>
        <v>0</v>
      </c>
      <c r="U136" s="108">
        <f>U28</f>
        <v>0</v>
      </c>
      <c r="V136" s="108">
        <f>V28</f>
        <v>0</v>
      </c>
      <c r="W136" s="63"/>
      <c r="X136" s="63"/>
      <c r="Y136" s="63"/>
      <c r="Z136" s="63"/>
      <c r="AA136" s="63" t="str">
        <f t="shared" ref="AA136:AA141" si="115">A136</f>
        <v xml:space="preserve">   Deferred Severance / Relocation Charges</v>
      </c>
      <c r="AB136" s="108">
        <f t="shared" ref="AB136:AB141" si="116">P136</f>
        <v>0</v>
      </c>
      <c r="AC136" s="108">
        <f>AC28</f>
        <v>0</v>
      </c>
      <c r="AD136" s="75">
        <f t="shared" ref="AD136:AD141" si="117">AB136-AC136</f>
        <v>0</v>
      </c>
      <c r="AE136" s="63"/>
      <c r="AF136" s="75">
        <f t="shared" ref="AF136:AF141" si="118">T136</f>
        <v>0</v>
      </c>
      <c r="AG136" s="108">
        <f>AG28</f>
        <v>0</v>
      </c>
      <c r="AH136" s="75">
        <f t="shared" ref="AH136:AH141" si="119">AF136-AG136</f>
        <v>0</v>
      </c>
      <c r="AI136" s="63"/>
      <c r="AJ136" s="75">
        <f t="shared" ref="AJ136:AJ141" si="120">AC136-AG136</f>
        <v>0</v>
      </c>
      <c r="AK136" s="75">
        <f t="shared" ref="AK136:AK141" si="121">AB136-AF136</f>
        <v>0</v>
      </c>
      <c r="AL136" s="63"/>
      <c r="AM136" s="108">
        <f>AM28</f>
        <v>0</v>
      </c>
      <c r="AN136" s="75">
        <f t="shared" ref="AN136:AN141" si="122">AB136-AM136</f>
        <v>0</v>
      </c>
      <c r="AO136" s="63"/>
      <c r="AP136" s="108">
        <f>AP28</f>
        <v>0</v>
      </c>
      <c r="AQ136" s="75">
        <f t="shared" ref="AQ136:AQ141" si="123">AC136-AP136</f>
        <v>0</v>
      </c>
      <c r="AR136" s="63"/>
      <c r="AS136" s="63"/>
      <c r="AT136" s="63"/>
      <c r="AU136" s="63"/>
    </row>
    <row r="137" spans="1:47" ht="12.75" customHeight="1">
      <c r="A137" s="110" t="str">
        <f>A33</f>
        <v xml:space="preserve">   Other Regulatory Assets / Liabilities</v>
      </c>
      <c r="B137" s="63"/>
      <c r="C137" s="63"/>
      <c r="D137" s="108">
        <f>D33</f>
        <v>-2772</v>
      </c>
      <c r="E137" s="108">
        <f t="shared" ref="E137:V137" si="124">E33</f>
        <v>3495</v>
      </c>
      <c r="F137" s="108">
        <f t="shared" si="124"/>
        <v>346</v>
      </c>
      <c r="G137" s="108">
        <f t="shared" si="124"/>
        <v>1502</v>
      </c>
      <c r="H137" s="108">
        <f t="shared" si="124"/>
        <v>4305</v>
      </c>
      <c r="I137" s="108">
        <f t="shared" si="124"/>
        <v>3265</v>
      </c>
      <c r="J137" s="108">
        <f t="shared" si="124"/>
        <v>3422</v>
      </c>
      <c r="K137" s="108">
        <f t="shared" si="124"/>
        <v>341</v>
      </c>
      <c r="L137" s="108">
        <f t="shared" si="124"/>
        <v>418</v>
      </c>
      <c r="M137" s="108">
        <f t="shared" si="124"/>
        <v>317</v>
      </c>
      <c r="N137" s="108">
        <f t="shared" si="124"/>
        <v>918</v>
      </c>
      <c r="O137" s="108">
        <f t="shared" si="124"/>
        <v>-9786</v>
      </c>
      <c r="P137" s="108">
        <f t="shared" si="124"/>
        <v>5771</v>
      </c>
      <c r="Q137" s="108">
        <f t="shared" si="124"/>
        <v>13563</v>
      </c>
      <c r="R137" s="108">
        <f t="shared" si="124"/>
        <v>-7792</v>
      </c>
      <c r="S137" s="63"/>
      <c r="T137" s="108">
        <f t="shared" si="124"/>
        <v>3321</v>
      </c>
      <c r="U137" s="108">
        <f t="shared" si="124"/>
        <v>3854</v>
      </c>
      <c r="V137" s="108">
        <f t="shared" si="124"/>
        <v>-533</v>
      </c>
      <c r="W137" s="63"/>
      <c r="X137" s="63"/>
      <c r="Y137" s="63"/>
      <c r="Z137" s="63"/>
      <c r="AA137" s="63" t="str">
        <f t="shared" si="115"/>
        <v xml:space="preserve">   Other Regulatory Assets / Liabilities</v>
      </c>
      <c r="AB137" s="108">
        <f t="shared" si="116"/>
        <v>5771</v>
      </c>
      <c r="AC137" s="108">
        <f>AC33</f>
        <v>14322</v>
      </c>
      <c r="AD137" s="75">
        <f t="shared" si="117"/>
        <v>-8551</v>
      </c>
      <c r="AE137" s="63"/>
      <c r="AF137" s="75">
        <f t="shared" si="118"/>
        <v>3321</v>
      </c>
      <c r="AG137" s="108">
        <f>AG33</f>
        <v>3854</v>
      </c>
      <c r="AH137" s="75">
        <f t="shared" si="119"/>
        <v>-533</v>
      </c>
      <c r="AI137" s="63"/>
      <c r="AJ137" s="75">
        <f t="shared" si="120"/>
        <v>10468</v>
      </c>
      <c r="AK137" s="75">
        <f t="shared" si="121"/>
        <v>2450</v>
      </c>
      <c r="AL137" s="63"/>
      <c r="AM137" s="108">
        <f>AM33</f>
        <v>810</v>
      </c>
      <c r="AN137" s="75">
        <f t="shared" si="122"/>
        <v>4961</v>
      </c>
      <c r="AO137" s="63"/>
      <c r="AP137" s="108">
        <f>AP33</f>
        <v>11376</v>
      </c>
      <c r="AQ137" s="75">
        <f t="shared" si="123"/>
        <v>2946</v>
      </c>
      <c r="AR137" s="63"/>
      <c r="AS137" s="63"/>
      <c r="AT137" s="63"/>
      <c r="AU137" s="63"/>
    </row>
    <row r="138" spans="1:47" ht="12.75" customHeight="1">
      <c r="A138" s="110" t="str">
        <f>A29</f>
        <v xml:space="preserve">   Price Risk Management Activities (Net)</v>
      </c>
      <c r="B138" s="63"/>
      <c r="C138" s="63"/>
      <c r="D138" s="108">
        <f t="shared" ref="D138:R139" si="125">D29</f>
        <v>-483</v>
      </c>
      <c r="E138" s="108">
        <f t="shared" si="125"/>
        <v>75</v>
      </c>
      <c r="F138" s="108">
        <f t="shared" si="125"/>
        <v>62</v>
      </c>
      <c r="G138" s="108">
        <f t="shared" si="125"/>
        <v>153</v>
      </c>
      <c r="H138" s="108">
        <f t="shared" si="125"/>
        <v>141</v>
      </c>
      <c r="I138" s="108">
        <f t="shared" si="125"/>
        <v>138</v>
      </c>
      <c r="J138" s="108">
        <f t="shared" si="125"/>
        <v>717</v>
      </c>
      <c r="K138" s="108">
        <f t="shared" si="125"/>
        <v>0</v>
      </c>
      <c r="L138" s="108">
        <f t="shared" si="125"/>
        <v>0</v>
      </c>
      <c r="M138" s="108">
        <f t="shared" si="125"/>
        <v>0</v>
      </c>
      <c r="N138" s="108">
        <f t="shared" si="125"/>
        <v>0</v>
      </c>
      <c r="O138" s="108">
        <f t="shared" si="125"/>
        <v>0</v>
      </c>
      <c r="P138" s="108">
        <f t="shared" si="125"/>
        <v>803</v>
      </c>
      <c r="Q138" s="108">
        <f t="shared" si="125"/>
        <v>803</v>
      </c>
      <c r="R138" s="108">
        <f t="shared" si="125"/>
        <v>0</v>
      </c>
      <c r="S138" s="63"/>
      <c r="T138" s="108">
        <f t="shared" ref="T138:V140" si="126">T29</f>
        <v>0</v>
      </c>
      <c r="U138" s="108">
        <f t="shared" si="126"/>
        <v>0</v>
      </c>
      <c r="V138" s="108">
        <f t="shared" si="126"/>
        <v>0</v>
      </c>
      <c r="W138" s="63"/>
      <c r="X138" s="63"/>
      <c r="Y138" s="63"/>
      <c r="Z138" s="63"/>
      <c r="AA138" s="63" t="str">
        <f t="shared" si="115"/>
        <v xml:space="preserve">   Price Risk Management Activities (Net)</v>
      </c>
      <c r="AB138" s="108">
        <f t="shared" si="116"/>
        <v>803</v>
      </c>
      <c r="AC138" s="108">
        <f>AC29</f>
        <v>803</v>
      </c>
      <c r="AD138" s="75">
        <f t="shared" si="117"/>
        <v>0</v>
      </c>
      <c r="AE138" s="63"/>
      <c r="AF138" s="75">
        <f t="shared" si="118"/>
        <v>0</v>
      </c>
      <c r="AG138" s="108">
        <f>AG29</f>
        <v>0</v>
      </c>
      <c r="AH138" s="75">
        <f t="shared" si="119"/>
        <v>0</v>
      </c>
      <c r="AI138" s="63"/>
      <c r="AJ138" s="75">
        <f t="shared" si="120"/>
        <v>803</v>
      </c>
      <c r="AK138" s="75">
        <f t="shared" si="121"/>
        <v>803</v>
      </c>
      <c r="AL138" s="63"/>
      <c r="AM138" s="108">
        <f>AM29</f>
        <v>86</v>
      </c>
      <c r="AN138" s="75">
        <f t="shared" si="122"/>
        <v>717</v>
      </c>
      <c r="AO138" s="63"/>
      <c r="AP138" s="108">
        <f>AP29</f>
        <v>86</v>
      </c>
      <c r="AQ138" s="75">
        <f t="shared" si="123"/>
        <v>717</v>
      </c>
      <c r="AR138" s="63"/>
      <c r="AS138" s="63"/>
      <c r="AT138" s="63"/>
      <c r="AU138" s="63"/>
    </row>
    <row r="139" spans="1:47" ht="12.75" customHeight="1">
      <c r="A139" s="110" t="str">
        <f>A30</f>
        <v xml:space="preserve">   Equity Earnings</v>
      </c>
      <c r="B139" s="63"/>
      <c r="C139" s="63"/>
      <c r="D139" s="108">
        <f t="shared" si="125"/>
        <v>-525</v>
      </c>
      <c r="E139" s="108">
        <f t="shared" si="125"/>
        <v>-329</v>
      </c>
      <c r="F139" s="108">
        <f t="shared" si="125"/>
        <v>-313</v>
      </c>
      <c r="G139" s="108">
        <f t="shared" si="125"/>
        <v>-1284</v>
      </c>
      <c r="H139" s="108">
        <f t="shared" si="125"/>
        <v>-318</v>
      </c>
      <c r="I139" s="108">
        <f t="shared" si="125"/>
        <v>-436</v>
      </c>
      <c r="J139" s="108">
        <f t="shared" si="125"/>
        <v>-335</v>
      </c>
      <c r="K139" s="108">
        <f t="shared" si="125"/>
        <v>-270</v>
      </c>
      <c r="L139" s="108">
        <f t="shared" si="125"/>
        <v>-324</v>
      </c>
      <c r="M139" s="108">
        <f t="shared" si="125"/>
        <v>-325</v>
      </c>
      <c r="N139" s="108">
        <f t="shared" si="125"/>
        <v>-342</v>
      </c>
      <c r="O139" s="108">
        <f t="shared" si="125"/>
        <v>-16</v>
      </c>
      <c r="P139" s="108">
        <f t="shared" si="125"/>
        <v>-4817</v>
      </c>
      <c r="Q139" s="108">
        <f t="shared" si="125"/>
        <v>-3540</v>
      </c>
      <c r="R139" s="108">
        <f t="shared" si="125"/>
        <v>-1277</v>
      </c>
      <c r="S139" s="63"/>
      <c r="T139" s="108">
        <f t="shared" si="126"/>
        <v>-3693</v>
      </c>
      <c r="U139" s="108">
        <f t="shared" si="126"/>
        <v>-3010</v>
      </c>
      <c r="V139" s="108">
        <f t="shared" si="126"/>
        <v>-683</v>
      </c>
      <c r="W139" s="63"/>
      <c r="X139" s="63"/>
      <c r="Y139" s="63"/>
      <c r="Z139" s="63"/>
      <c r="AA139" s="63" t="str">
        <f t="shared" si="115"/>
        <v xml:space="preserve">   Equity Earnings</v>
      </c>
      <c r="AB139" s="108">
        <f t="shared" si="116"/>
        <v>-4817</v>
      </c>
      <c r="AC139" s="108">
        <f>AC30</f>
        <v>-4134</v>
      </c>
      <c r="AD139" s="75">
        <f t="shared" si="117"/>
        <v>-683</v>
      </c>
      <c r="AE139" s="63"/>
      <c r="AF139" s="75">
        <f t="shared" si="118"/>
        <v>-3693</v>
      </c>
      <c r="AG139" s="108">
        <f>AG30</f>
        <v>-3010</v>
      </c>
      <c r="AH139" s="75">
        <f t="shared" si="119"/>
        <v>-683</v>
      </c>
      <c r="AI139" s="63"/>
      <c r="AJ139" s="75">
        <f t="shared" si="120"/>
        <v>-1124</v>
      </c>
      <c r="AK139" s="75">
        <f t="shared" si="121"/>
        <v>-1124</v>
      </c>
      <c r="AL139" s="63"/>
      <c r="AM139" s="108">
        <f>AM30</f>
        <v>-4840</v>
      </c>
      <c r="AN139" s="75">
        <f t="shared" si="122"/>
        <v>23</v>
      </c>
      <c r="AO139" s="63"/>
      <c r="AP139" s="108">
        <f>AP30</f>
        <v>-4157</v>
      </c>
      <c r="AQ139" s="75">
        <f t="shared" si="123"/>
        <v>23</v>
      </c>
      <c r="AR139" s="63"/>
      <c r="AS139" s="63"/>
      <c r="AT139" s="63"/>
      <c r="AU139" s="63"/>
    </row>
    <row r="140" spans="1:47" ht="12.75" customHeight="1">
      <c r="A140" s="110" t="str">
        <f>A31</f>
        <v xml:space="preserve">   Equity / Partner. Distributions / Overthrust Sale (Book Basis)</v>
      </c>
      <c r="B140" s="63"/>
      <c r="C140" s="63"/>
      <c r="D140" s="108">
        <f t="shared" ref="D140:R140" si="127">D31</f>
        <v>0</v>
      </c>
      <c r="E140" s="108">
        <f t="shared" si="127"/>
        <v>0</v>
      </c>
      <c r="F140" s="108">
        <f t="shared" si="127"/>
        <v>800</v>
      </c>
      <c r="G140" s="108">
        <f t="shared" si="127"/>
        <v>0</v>
      </c>
      <c r="H140" s="108">
        <f t="shared" si="127"/>
        <v>0</v>
      </c>
      <c r="I140" s="108">
        <f t="shared" si="127"/>
        <v>3800</v>
      </c>
      <c r="J140" s="108">
        <f t="shared" si="127"/>
        <v>0</v>
      </c>
      <c r="K140" s="108">
        <f t="shared" si="127"/>
        <v>2000</v>
      </c>
      <c r="L140" s="108">
        <f t="shared" si="127"/>
        <v>800</v>
      </c>
      <c r="M140" s="108">
        <f t="shared" si="127"/>
        <v>0</v>
      </c>
      <c r="N140" s="108">
        <f t="shared" si="127"/>
        <v>0</v>
      </c>
      <c r="O140" s="108">
        <f t="shared" si="127"/>
        <v>800</v>
      </c>
      <c r="P140" s="108">
        <f t="shared" si="127"/>
        <v>8200</v>
      </c>
      <c r="Q140" s="108">
        <f t="shared" si="127"/>
        <v>4600</v>
      </c>
      <c r="R140" s="108">
        <f t="shared" si="127"/>
        <v>3600</v>
      </c>
      <c r="S140" s="63"/>
      <c r="T140" s="108">
        <f t="shared" si="126"/>
        <v>3200</v>
      </c>
      <c r="U140" s="108">
        <f t="shared" si="126"/>
        <v>2400</v>
      </c>
      <c r="V140" s="108">
        <f t="shared" si="126"/>
        <v>800</v>
      </c>
      <c r="W140" s="63"/>
      <c r="X140" s="63"/>
      <c r="Y140" s="63"/>
      <c r="Z140" s="63"/>
      <c r="AA140" s="63" t="str">
        <f t="shared" si="115"/>
        <v xml:space="preserve">   Equity / Partner. Distributions / Overthrust Sale (Book Basis)</v>
      </c>
      <c r="AB140" s="108">
        <f t="shared" si="116"/>
        <v>8200</v>
      </c>
      <c r="AC140" s="108">
        <f>AC31</f>
        <v>7400</v>
      </c>
      <c r="AD140" s="75">
        <f t="shared" si="117"/>
        <v>800</v>
      </c>
      <c r="AE140" s="63"/>
      <c r="AF140" s="75">
        <f t="shared" si="118"/>
        <v>3200</v>
      </c>
      <c r="AG140" s="108">
        <f>AG31</f>
        <v>2400</v>
      </c>
      <c r="AH140" s="75">
        <f t="shared" si="119"/>
        <v>800</v>
      </c>
      <c r="AI140" s="63"/>
      <c r="AJ140" s="75">
        <f t="shared" si="120"/>
        <v>5000</v>
      </c>
      <c r="AK140" s="75">
        <f t="shared" si="121"/>
        <v>5000</v>
      </c>
      <c r="AL140" s="63"/>
      <c r="AM140" s="108">
        <f>AM31</f>
        <v>6200</v>
      </c>
      <c r="AN140" s="75">
        <f t="shared" si="122"/>
        <v>2000</v>
      </c>
      <c r="AO140" s="63"/>
      <c r="AP140" s="108">
        <f>AP31</f>
        <v>5400</v>
      </c>
      <c r="AQ140" s="75">
        <f t="shared" si="123"/>
        <v>2000</v>
      </c>
      <c r="AR140" s="63"/>
      <c r="AS140" s="63"/>
      <c r="AT140" s="63"/>
      <c r="AU140" s="63"/>
    </row>
    <row r="141" spans="1:47" ht="12.75" customHeight="1">
      <c r="A141" s="110" t="str">
        <f>A34</f>
        <v xml:space="preserve">   Other (Incl. All Capital Costs &amp; Current Reserve Activity) </v>
      </c>
      <c r="B141" s="63"/>
      <c r="C141" s="63"/>
      <c r="D141" s="109">
        <f>D12+D34</f>
        <v>1266</v>
      </c>
      <c r="E141" s="109">
        <f t="shared" ref="E141:R141" si="128">E12+E34</f>
        <v>-524</v>
      </c>
      <c r="F141" s="109">
        <f t="shared" si="128"/>
        <v>-3806</v>
      </c>
      <c r="G141" s="109">
        <f t="shared" si="128"/>
        <v>-412</v>
      </c>
      <c r="H141" s="109">
        <f t="shared" si="128"/>
        <v>101</v>
      </c>
      <c r="I141" s="109">
        <f t="shared" si="128"/>
        <v>-1192</v>
      </c>
      <c r="J141" s="109">
        <f t="shared" si="128"/>
        <v>-1202</v>
      </c>
      <c r="K141" s="109">
        <f t="shared" si="128"/>
        <v>-158</v>
      </c>
      <c r="L141" s="109">
        <f t="shared" si="128"/>
        <v>-219</v>
      </c>
      <c r="M141" s="109">
        <f t="shared" si="128"/>
        <v>-161</v>
      </c>
      <c r="N141" s="109">
        <f t="shared" si="128"/>
        <v>-86</v>
      </c>
      <c r="O141" s="109">
        <f t="shared" si="128"/>
        <v>-377</v>
      </c>
      <c r="P141" s="109">
        <f t="shared" si="128"/>
        <v>-6770</v>
      </c>
      <c r="Q141" s="109">
        <f t="shared" si="128"/>
        <v>-5769</v>
      </c>
      <c r="R141" s="109">
        <f t="shared" si="128"/>
        <v>-1001</v>
      </c>
      <c r="S141" s="81"/>
      <c r="T141" s="190">
        <f>T12+T34+T52-T52</f>
        <v>-7962</v>
      </c>
      <c r="U141" s="190">
        <f>U12+U34+U52-U52</f>
        <v>-5862</v>
      </c>
      <c r="V141" s="190">
        <f>V12+V34+V52-V52</f>
        <v>-2100</v>
      </c>
      <c r="W141" s="63"/>
      <c r="X141" s="63"/>
      <c r="Y141" s="63"/>
      <c r="Z141" s="63"/>
      <c r="AA141" s="63" t="str">
        <f t="shared" si="115"/>
        <v xml:space="preserve">   Other (Incl. All Capital Costs &amp; Current Reserve Activity) </v>
      </c>
      <c r="AB141" s="109">
        <f t="shared" si="116"/>
        <v>-6770</v>
      </c>
      <c r="AC141" s="109">
        <f>AC12+AC34</f>
        <v>-6146</v>
      </c>
      <c r="AD141" s="80">
        <f t="shared" si="117"/>
        <v>-624</v>
      </c>
      <c r="AE141" s="81"/>
      <c r="AF141" s="80">
        <f t="shared" si="118"/>
        <v>-7962</v>
      </c>
      <c r="AG141" s="190">
        <f>AG12+AG34+(AG52-AG52)</f>
        <v>-5862</v>
      </c>
      <c r="AH141" s="80">
        <f t="shared" si="119"/>
        <v>-2100</v>
      </c>
      <c r="AI141" s="63"/>
      <c r="AJ141" s="80">
        <f t="shared" si="120"/>
        <v>-284</v>
      </c>
      <c r="AK141" s="80">
        <f t="shared" si="121"/>
        <v>1192</v>
      </c>
      <c r="AL141" s="63"/>
      <c r="AM141" s="109">
        <f>AM12+AM34</f>
        <v>-7421</v>
      </c>
      <c r="AN141" s="80">
        <f t="shared" si="122"/>
        <v>651</v>
      </c>
      <c r="AO141" s="63"/>
      <c r="AP141" s="109">
        <f>AP12+AP34</f>
        <v>-7213</v>
      </c>
      <c r="AQ141" s="80">
        <f t="shared" si="123"/>
        <v>1067</v>
      </c>
      <c r="AR141" s="63"/>
      <c r="AS141" s="63"/>
      <c r="AT141" s="63"/>
      <c r="AU141" s="63"/>
    </row>
    <row r="142" spans="1:47" ht="3.95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0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</row>
    <row r="143" spans="1:47" ht="12.75" customHeight="1">
      <c r="A143" s="105" t="s">
        <v>408</v>
      </c>
      <c r="B143" s="63"/>
      <c r="C143" s="63"/>
      <c r="D143" s="209">
        <f>SUM(D134:D141)</f>
        <v>24490</v>
      </c>
      <c r="E143" s="209">
        <f t="shared" ref="E143:T143" si="129">SUM(E134:E141)</f>
        <v>25246</v>
      </c>
      <c r="F143" s="209">
        <f t="shared" si="129"/>
        <v>17529</v>
      </c>
      <c r="G143" s="209">
        <f t="shared" si="129"/>
        <v>30190</v>
      </c>
      <c r="H143" s="209">
        <f t="shared" si="129"/>
        <v>10551</v>
      </c>
      <c r="I143" s="209">
        <f t="shared" si="129"/>
        <v>9004</v>
      </c>
      <c r="J143" s="209">
        <f t="shared" si="129"/>
        <v>8861</v>
      </c>
      <c r="K143" s="209">
        <f t="shared" si="129"/>
        <v>11581</v>
      </c>
      <c r="L143" s="209">
        <f t="shared" si="129"/>
        <v>7428</v>
      </c>
      <c r="M143" s="209">
        <f t="shared" si="129"/>
        <v>-7968</v>
      </c>
      <c r="N143" s="209">
        <f t="shared" si="129"/>
        <v>19470</v>
      </c>
      <c r="O143" s="209">
        <f t="shared" si="129"/>
        <v>9736</v>
      </c>
      <c r="P143" s="209">
        <f t="shared" si="129"/>
        <v>166118</v>
      </c>
      <c r="Q143" s="209">
        <f t="shared" si="129"/>
        <v>125871</v>
      </c>
      <c r="R143" s="209">
        <f t="shared" si="129"/>
        <v>40247</v>
      </c>
      <c r="S143" s="123"/>
      <c r="T143" s="209">
        <f t="shared" si="129"/>
        <v>143009</v>
      </c>
      <c r="U143" s="209">
        <f>SUM(U134:U141)</f>
        <v>96534</v>
      </c>
      <c r="V143" s="209">
        <f>SUM(V134:V141)</f>
        <v>46475</v>
      </c>
      <c r="W143" s="63"/>
      <c r="X143" s="63"/>
      <c r="Y143" s="63"/>
      <c r="Z143" s="63"/>
      <c r="AA143" s="60" t="str">
        <f>A143</f>
        <v xml:space="preserve">            Total Funds Flow From Operations</v>
      </c>
      <c r="AB143" s="209">
        <f>SUM(AB134:AB141)</f>
        <v>166118</v>
      </c>
      <c r="AC143" s="209">
        <f>SUM(AC134:AC141)</f>
        <v>144880</v>
      </c>
      <c r="AD143" s="209">
        <f>SUM(AD134:AD141)</f>
        <v>21238</v>
      </c>
      <c r="AE143" s="209"/>
      <c r="AF143" s="209">
        <f>SUM(AF134:AF141)</f>
        <v>143009</v>
      </c>
      <c r="AG143" s="209">
        <f>SUM(AG134:AG141)</f>
        <v>96534</v>
      </c>
      <c r="AH143" s="209">
        <f>SUM(AH134:AH141)</f>
        <v>46475</v>
      </c>
      <c r="AI143" s="63"/>
      <c r="AJ143" s="209">
        <f>SUM(AJ134:AJ141)</f>
        <v>48346</v>
      </c>
      <c r="AK143" s="209">
        <f>SUM(AK134:AK141)</f>
        <v>23109</v>
      </c>
      <c r="AL143" s="63"/>
      <c r="AM143" s="111">
        <f>SUM(AM134:AM141)</f>
        <v>153645</v>
      </c>
      <c r="AN143" s="111">
        <f>SUM(AN134:AN141)</f>
        <v>12473</v>
      </c>
      <c r="AO143" s="63"/>
      <c r="AP143" s="111">
        <f>SUM(AP134:AP141)</f>
        <v>135213</v>
      </c>
      <c r="AQ143" s="111">
        <f>SUM(AQ134:AQ141)</f>
        <v>9667</v>
      </c>
      <c r="AR143" s="63"/>
      <c r="AS143" s="63"/>
      <c r="AT143" s="63"/>
      <c r="AU143" s="63"/>
    </row>
    <row r="144" spans="1:47" ht="3.95" customHeight="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0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</row>
    <row r="145" spans="1:47" ht="12.75" customHeight="1">
      <c r="A145" s="63" t="str">
        <f>A15</f>
        <v xml:space="preserve">   Working Capital Changes:</v>
      </c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 t="str">
        <f t="shared" ref="AA145:AA153" si="130">A145</f>
        <v xml:space="preserve">   Working Capital Changes:</v>
      </c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</row>
    <row r="146" spans="1:47" ht="12.75" customHeight="1">
      <c r="A146" s="106" t="s">
        <v>409</v>
      </c>
      <c r="B146" s="63"/>
      <c r="C146" s="63"/>
      <c r="D146" s="108">
        <f>D16+D21</f>
        <v>-5968</v>
      </c>
      <c r="E146" s="108">
        <f t="shared" ref="E146:T146" si="131">E16+E21</f>
        <v>14003</v>
      </c>
      <c r="F146" s="108">
        <f t="shared" si="131"/>
        <v>-6349</v>
      </c>
      <c r="G146" s="108">
        <f t="shared" si="131"/>
        <v>20199</v>
      </c>
      <c r="H146" s="108">
        <f t="shared" si="131"/>
        <v>16089</v>
      </c>
      <c r="I146" s="108">
        <f t="shared" si="131"/>
        <v>-11461</v>
      </c>
      <c r="J146" s="108">
        <f t="shared" si="131"/>
        <v>23021</v>
      </c>
      <c r="K146" s="108">
        <f t="shared" si="131"/>
        <v>-286</v>
      </c>
      <c r="L146" s="108">
        <f t="shared" si="131"/>
        <v>1749</v>
      </c>
      <c r="M146" s="108">
        <f t="shared" si="131"/>
        <v>619</v>
      </c>
      <c r="N146" s="108">
        <f t="shared" si="131"/>
        <v>-28987</v>
      </c>
      <c r="O146" s="108">
        <f t="shared" si="131"/>
        <v>-1198</v>
      </c>
      <c r="P146" s="108">
        <f t="shared" si="131"/>
        <v>21431</v>
      </c>
      <c r="Q146" s="108">
        <f t="shared" si="131"/>
        <v>49534</v>
      </c>
      <c r="R146" s="108">
        <f t="shared" si="131"/>
        <v>-28103</v>
      </c>
      <c r="S146" s="63"/>
      <c r="T146" s="108">
        <f t="shared" si="131"/>
        <v>497</v>
      </c>
      <c r="U146" s="108">
        <f>U16+U21</f>
        <v>29620</v>
      </c>
      <c r="V146" s="108">
        <f>V16+V21</f>
        <v>-29123</v>
      </c>
      <c r="W146" s="63"/>
      <c r="X146" s="63"/>
      <c r="Y146" s="63"/>
      <c r="Z146" s="63"/>
      <c r="AA146" s="63" t="str">
        <f t="shared" si="130"/>
        <v xml:space="preserve">      Accounts Receivable (Including Exchange Gas Rec.)</v>
      </c>
      <c r="AB146" s="108">
        <f t="shared" ref="AB146:AB153" si="132">P146</f>
        <v>21431</v>
      </c>
      <c r="AC146" s="108">
        <f>AC16+AC21</f>
        <v>50997</v>
      </c>
      <c r="AD146" s="75">
        <f t="shared" ref="AD146:AD153" si="133">AB146-AC146</f>
        <v>-29566</v>
      </c>
      <c r="AE146" s="63"/>
      <c r="AF146" s="75">
        <f t="shared" ref="AF146:AF153" si="134">T146</f>
        <v>497</v>
      </c>
      <c r="AG146" s="108">
        <f>AG16+AG21</f>
        <v>29620</v>
      </c>
      <c r="AH146" s="75">
        <f t="shared" ref="AH146:AH153" si="135">AF146-AG146</f>
        <v>-29123</v>
      </c>
      <c r="AI146" s="63"/>
      <c r="AJ146" s="75">
        <f t="shared" ref="AJ146:AJ153" si="136">AC146-AG146</f>
        <v>21377</v>
      </c>
      <c r="AK146" s="75">
        <f t="shared" ref="AK146:AK153" si="137">AB146-AF146</f>
        <v>20934</v>
      </c>
      <c r="AL146" s="63"/>
      <c r="AM146" s="108">
        <f>AM16+AM21</f>
        <v>5843</v>
      </c>
      <c r="AN146" s="75">
        <f t="shared" ref="AN146:AN153" si="138">AB146-AM146</f>
        <v>15588</v>
      </c>
      <c r="AO146" s="63"/>
      <c r="AP146" s="108">
        <f>AP16+AP21</f>
        <v>36186</v>
      </c>
      <c r="AQ146" s="75">
        <f t="shared" ref="AQ146:AQ153" si="139">AC146-AP146</f>
        <v>14811</v>
      </c>
      <c r="AR146" s="63"/>
      <c r="AS146" s="63"/>
      <c r="AT146" s="63"/>
      <c r="AU146" s="63"/>
    </row>
    <row r="147" spans="1:47" ht="12.75" customHeight="1">
      <c r="A147" s="106" t="s">
        <v>410</v>
      </c>
      <c r="B147" s="63"/>
      <c r="C147" s="63"/>
      <c r="D147" s="108">
        <f>D18+D19+D22</f>
        <v>52851</v>
      </c>
      <c r="E147" s="108">
        <f t="shared" ref="E147:T147" si="140">E18+E19+E22</f>
        <v>-53828</v>
      </c>
      <c r="F147" s="108">
        <f t="shared" si="140"/>
        <v>-3137</v>
      </c>
      <c r="G147" s="108">
        <f t="shared" si="140"/>
        <v>-11232</v>
      </c>
      <c r="H147" s="108">
        <f t="shared" si="140"/>
        <v>-9274</v>
      </c>
      <c r="I147" s="108">
        <f t="shared" si="140"/>
        <v>1252</v>
      </c>
      <c r="J147" s="108">
        <f t="shared" si="140"/>
        <v>-20237</v>
      </c>
      <c r="K147" s="108">
        <f t="shared" si="140"/>
        <v>3509</v>
      </c>
      <c r="L147" s="108">
        <f t="shared" si="140"/>
        <v>1950</v>
      </c>
      <c r="M147" s="108">
        <f t="shared" si="140"/>
        <v>-3995</v>
      </c>
      <c r="N147" s="108">
        <f t="shared" si="140"/>
        <v>-5941</v>
      </c>
      <c r="O147" s="108">
        <f t="shared" si="140"/>
        <v>-1131</v>
      </c>
      <c r="P147" s="108">
        <f t="shared" si="140"/>
        <v>-49213</v>
      </c>
      <c r="Q147" s="108">
        <f t="shared" si="140"/>
        <v>-43605</v>
      </c>
      <c r="R147" s="108">
        <f t="shared" si="140"/>
        <v>-5608</v>
      </c>
      <c r="S147" s="63"/>
      <c r="T147" s="108">
        <f t="shared" si="140"/>
        <v>-13421</v>
      </c>
      <c r="U147" s="108">
        <f>U18+U19+U22</f>
        <v>-13554</v>
      </c>
      <c r="V147" s="108">
        <f>V18+V19+V22</f>
        <v>133</v>
      </c>
      <c r="W147" s="63"/>
      <c r="X147" s="63"/>
      <c r="Y147" s="63"/>
      <c r="Z147" s="63"/>
      <c r="AA147" s="63" t="str">
        <f t="shared" si="130"/>
        <v xml:space="preserve">      Accounts Payable &amp; Other (Including Exchange Gas Pay.)</v>
      </c>
      <c r="AB147" s="108">
        <f t="shared" si="132"/>
        <v>-49213</v>
      </c>
      <c r="AC147" s="108">
        <f>AC18+AC19+AC22</f>
        <v>-38146</v>
      </c>
      <c r="AD147" s="75">
        <f t="shared" si="133"/>
        <v>-11067</v>
      </c>
      <c r="AE147" s="63"/>
      <c r="AF147" s="75">
        <f t="shared" si="134"/>
        <v>-13421</v>
      </c>
      <c r="AG147" s="108">
        <f>AG18+AG19+AG22</f>
        <v>-13554</v>
      </c>
      <c r="AH147" s="75">
        <f t="shared" si="135"/>
        <v>133</v>
      </c>
      <c r="AI147" s="63"/>
      <c r="AJ147" s="75">
        <f t="shared" si="136"/>
        <v>-24592</v>
      </c>
      <c r="AK147" s="75">
        <f t="shared" si="137"/>
        <v>-35792</v>
      </c>
      <c r="AL147" s="63"/>
      <c r="AM147" s="108">
        <f>AM18+AM19+AM22</f>
        <v>-28262</v>
      </c>
      <c r="AN147" s="75">
        <f t="shared" si="138"/>
        <v>-20951</v>
      </c>
      <c r="AO147" s="63"/>
      <c r="AP147" s="108">
        <f>AP18+AP19+AP22</f>
        <v>-21857</v>
      </c>
      <c r="AQ147" s="75">
        <f t="shared" si="139"/>
        <v>-16289</v>
      </c>
      <c r="AR147" s="63"/>
      <c r="AS147" s="63"/>
      <c r="AT147" s="63"/>
      <c r="AU147" s="63"/>
    </row>
    <row r="148" spans="1:47" ht="12.75" customHeight="1">
      <c r="A148" s="63" t="str">
        <f>A20</f>
        <v xml:space="preserve">      Over / (Under) Recovered Gas Cost</v>
      </c>
      <c r="B148" s="63"/>
      <c r="C148" s="63"/>
      <c r="D148" s="108">
        <f t="shared" ref="D148:R148" si="141">D20</f>
        <v>0</v>
      </c>
      <c r="E148" s="108">
        <f t="shared" si="141"/>
        <v>0</v>
      </c>
      <c r="F148" s="108">
        <f t="shared" si="141"/>
        <v>0</v>
      </c>
      <c r="G148" s="108">
        <f t="shared" si="141"/>
        <v>0</v>
      </c>
      <c r="H148" s="108">
        <f t="shared" si="141"/>
        <v>0</v>
      </c>
      <c r="I148" s="108">
        <f t="shared" si="141"/>
        <v>0</v>
      </c>
      <c r="J148" s="108">
        <f t="shared" si="141"/>
        <v>0</v>
      </c>
      <c r="K148" s="108">
        <f t="shared" si="141"/>
        <v>0</v>
      </c>
      <c r="L148" s="108">
        <f t="shared" si="141"/>
        <v>0</v>
      </c>
      <c r="M148" s="108">
        <f t="shared" si="141"/>
        <v>0</v>
      </c>
      <c r="N148" s="108">
        <f t="shared" si="141"/>
        <v>0</v>
      </c>
      <c r="O148" s="108">
        <f t="shared" si="141"/>
        <v>0</v>
      </c>
      <c r="P148" s="108">
        <f t="shared" si="141"/>
        <v>0</v>
      </c>
      <c r="Q148" s="108">
        <f t="shared" si="141"/>
        <v>0</v>
      </c>
      <c r="R148" s="108">
        <f t="shared" si="141"/>
        <v>0</v>
      </c>
      <c r="S148" s="63"/>
      <c r="T148" s="108">
        <f>T20</f>
        <v>0</v>
      </c>
      <c r="U148" s="108">
        <f>U20</f>
        <v>0</v>
      </c>
      <c r="V148" s="108">
        <f>V20</f>
        <v>0</v>
      </c>
      <c r="W148" s="63"/>
      <c r="X148" s="63"/>
      <c r="Y148" s="63"/>
      <c r="Z148" s="63"/>
      <c r="AA148" s="63" t="str">
        <f t="shared" si="130"/>
        <v xml:space="preserve">      Over / (Under) Recovered Gas Cost</v>
      </c>
      <c r="AB148" s="108">
        <f t="shared" si="132"/>
        <v>0</v>
      </c>
      <c r="AC148" s="108">
        <f>AC20</f>
        <v>0</v>
      </c>
      <c r="AD148" s="75">
        <f t="shared" si="133"/>
        <v>0</v>
      </c>
      <c r="AE148" s="63"/>
      <c r="AF148" s="75">
        <f t="shared" si="134"/>
        <v>0</v>
      </c>
      <c r="AG148" s="108">
        <f>AG20</f>
        <v>0</v>
      </c>
      <c r="AH148" s="75">
        <f t="shared" si="135"/>
        <v>0</v>
      </c>
      <c r="AI148" s="63"/>
      <c r="AJ148" s="75">
        <f t="shared" si="136"/>
        <v>0</v>
      </c>
      <c r="AK148" s="75">
        <f t="shared" si="137"/>
        <v>0</v>
      </c>
      <c r="AL148" s="63"/>
      <c r="AM148" s="108">
        <f>AM20</f>
        <v>0</v>
      </c>
      <c r="AN148" s="75">
        <f t="shared" si="138"/>
        <v>0</v>
      </c>
      <c r="AO148" s="63"/>
      <c r="AP148" s="108">
        <f>AP20</f>
        <v>0</v>
      </c>
      <c r="AQ148" s="75">
        <f t="shared" si="139"/>
        <v>0</v>
      </c>
      <c r="AR148" s="63"/>
      <c r="AS148" s="63"/>
      <c r="AT148" s="63"/>
      <c r="AU148" s="63"/>
    </row>
    <row r="149" spans="1:47" ht="12.75" customHeight="1">
      <c r="A149" s="63" t="str">
        <f>A24</f>
        <v xml:space="preserve">      Accrued Interest - Third Party</v>
      </c>
      <c r="B149" s="63"/>
      <c r="C149" s="63"/>
      <c r="D149" s="108">
        <f t="shared" ref="D149:R149" si="142">D24</f>
        <v>2875</v>
      </c>
      <c r="E149" s="108">
        <f t="shared" si="142"/>
        <v>2875</v>
      </c>
      <c r="F149" s="108">
        <f t="shared" si="142"/>
        <v>-2187</v>
      </c>
      <c r="G149" s="108">
        <f t="shared" si="142"/>
        <v>2875</v>
      </c>
      <c r="H149" s="108">
        <f t="shared" si="142"/>
        <v>-563</v>
      </c>
      <c r="I149" s="108">
        <f t="shared" si="142"/>
        <v>-5875</v>
      </c>
      <c r="J149" s="108">
        <f t="shared" si="142"/>
        <v>2875</v>
      </c>
      <c r="K149" s="108">
        <f t="shared" si="142"/>
        <v>2875</v>
      </c>
      <c r="L149" s="108">
        <f t="shared" si="142"/>
        <v>-2187</v>
      </c>
      <c r="M149" s="108">
        <f t="shared" si="142"/>
        <v>2875</v>
      </c>
      <c r="N149" s="108">
        <f t="shared" si="142"/>
        <v>-563</v>
      </c>
      <c r="O149" s="108">
        <f t="shared" si="142"/>
        <v>-5875</v>
      </c>
      <c r="P149" s="108">
        <f t="shared" si="142"/>
        <v>0</v>
      </c>
      <c r="Q149" s="108">
        <f t="shared" si="142"/>
        <v>2875</v>
      </c>
      <c r="R149" s="108">
        <f t="shared" si="142"/>
        <v>-2875</v>
      </c>
      <c r="S149" s="63"/>
      <c r="T149" s="108">
        <f>T24</f>
        <v>0</v>
      </c>
      <c r="U149" s="108">
        <f>U24</f>
        <v>3563</v>
      </c>
      <c r="V149" s="108">
        <f>V24</f>
        <v>-3563</v>
      </c>
      <c r="W149" s="63"/>
      <c r="X149" s="63"/>
      <c r="Y149" s="63"/>
      <c r="Z149" s="63"/>
      <c r="AA149" s="63" t="str">
        <f t="shared" si="130"/>
        <v xml:space="preserve">      Accrued Interest - Third Party</v>
      </c>
      <c r="AB149" s="108">
        <f t="shared" si="132"/>
        <v>0</v>
      </c>
      <c r="AC149" s="108">
        <f>AC24</f>
        <v>3563</v>
      </c>
      <c r="AD149" s="75">
        <f t="shared" si="133"/>
        <v>-3563</v>
      </c>
      <c r="AE149" s="63"/>
      <c r="AF149" s="75">
        <f t="shared" si="134"/>
        <v>0</v>
      </c>
      <c r="AG149" s="108">
        <f>AG24</f>
        <v>3563</v>
      </c>
      <c r="AH149" s="75">
        <f t="shared" si="135"/>
        <v>-3563</v>
      </c>
      <c r="AI149" s="63"/>
      <c r="AJ149" s="75">
        <f t="shared" si="136"/>
        <v>0</v>
      </c>
      <c r="AK149" s="75">
        <f t="shared" si="137"/>
        <v>0</v>
      </c>
      <c r="AL149" s="63"/>
      <c r="AM149" s="108">
        <f>AM24</f>
        <v>0</v>
      </c>
      <c r="AN149" s="75">
        <f t="shared" si="138"/>
        <v>0</v>
      </c>
      <c r="AO149" s="63"/>
      <c r="AP149" s="108">
        <f>AP24</f>
        <v>3563</v>
      </c>
      <c r="AQ149" s="75">
        <f t="shared" si="139"/>
        <v>0</v>
      </c>
      <c r="AR149" s="63"/>
      <c r="AS149" s="63"/>
      <c r="AT149" s="63"/>
      <c r="AU149" s="63"/>
    </row>
    <row r="150" spans="1:47" ht="12.75" customHeight="1">
      <c r="A150" s="94" t="s">
        <v>383</v>
      </c>
      <c r="B150" s="63"/>
      <c r="C150" s="63"/>
      <c r="D150" s="76">
        <v>0</v>
      </c>
      <c r="E150" s="76">
        <v>0</v>
      </c>
      <c r="F150" s="76">
        <v>0</v>
      </c>
      <c r="G150" s="76">
        <v>0</v>
      </c>
      <c r="H150" s="76">
        <v>0</v>
      </c>
      <c r="I150" s="76">
        <v>0</v>
      </c>
      <c r="J150" s="76">
        <v>0</v>
      </c>
      <c r="K150" s="76">
        <v>0</v>
      </c>
      <c r="L150" s="76">
        <v>0</v>
      </c>
      <c r="M150" s="76">
        <v>0</v>
      </c>
      <c r="N150" s="76">
        <v>0</v>
      </c>
      <c r="O150" s="76">
        <v>0</v>
      </c>
      <c r="P150" s="75">
        <f>SUM(D150:O150)</f>
        <v>0</v>
      </c>
      <c r="Q150" s="76">
        <f>SUM(D150:J150)</f>
        <v>0</v>
      </c>
      <c r="R150" s="75">
        <f>P150-Q150</f>
        <v>0</v>
      </c>
      <c r="S150" s="63"/>
      <c r="T150" s="76">
        <v>0</v>
      </c>
      <c r="U150" s="76">
        <v>0</v>
      </c>
      <c r="V150" s="75">
        <f>T150-U150</f>
        <v>0</v>
      </c>
      <c r="W150" s="63"/>
      <c r="X150" s="63"/>
      <c r="Y150" s="63"/>
      <c r="Z150" s="63"/>
      <c r="AA150" s="63" t="str">
        <f t="shared" si="130"/>
        <v xml:space="preserve">      Accrued Income Taxes</v>
      </c>
      <c r="AB150" s="108">
        <f t="shared" si="132"/>
        <v>0</v>
      </c>
      <c r="AC150" s="76">
        <f>SUM(D150:L150)</f>
        <v>0</v>
      </c>
      <c r="AD150" s="75">
        <f t="shared" si="133"/>
        <v>0</v>
      </c>
      <c r="AE150" s="63"/>
      <c r="AF150" s="75">
        <f t="shared" si="134"/>
        <v>0</v>
      </c>
      <c r="AG150" s="76">
        <v>0</v>
      </c>
      <c r="AH150" s="75">
        <f t="shared" si="135"/>
        <v>0</v>
      </c>
      <c r="AI150" s="63"/>
      <c r="AJ150" s="75">
        <f t="shared" si="136"/>
        <v>0</v>
      </c>
      <c r="AK150" s="75">
        <f t="shared" si="137"/>
        <v>0</v>
      </c>
      <c r="AL150" s="63"/>
      <c r="AM150" s="76">
        <v>0</v>
      </c>
      <c r="AN150" s="75">
        <f t="shared" si="138"/>
        <v>0</v>
      </c>
      <c r="AO150" s="63"/>
      <c r="AP150" s="76">
        <v>0</v>
      </c>
      <c r="AQ150" s="75">
        <f t="shared" si="139"/>
        <v>0</v>
      </c>
      <c r="AR150" s="63"/>
      <c r="AS150" s="63"/>
      <c r="AT150" s="63"/>
      <c r="AU150" s="63"/>
    </row>
    <row r="151" spans="1:47" ht="12.75" customHeight="1">
      <c r="A151" s="63" t="str">
        <f>A25</f>
        <v xml:space="preserve">      Accrued Taxes, other than income</v>
      </c>
      <c r="B151" s="63"/>
      <c r="C151" s="63"/>
      <c r="D151" s="108">
        <f t="shared" ref="D151:R151" si="143">D25</f>
        <v>-896</v>
      </c>
      <c r="E151" s="108">
        <f t="shared" si="143"/>
        <v>4102</v>
      </c>
      <c r="F151" s="108">
        <f t="shared" si="143"/>
        <v>-1420</v>
      </c>
      <c r="G151" s="108">
        <f t="shared" si="143"/>
        <v>1757</v>
      </c>
      <c r="H151" s="108">
        <f t="shared" si="143"/>
        <v>-3621</v>
      </c>
      <c r="I151" s="108">
        <f t="shared" si="143"/>
        <v>-1874</v>
      </c>
      <c r="J151" s="108">
        <f t="shared" si="143"/>
        <v>2393</v>
      </c>
      <c r="K151" s="108">
        <f t="shared" si="143"/>
        <v>1781</v>
      </c>
      <c r="L151" s="108">
        <f t="shared" si="143"/>
        <v>-558</v>
      </c>
      <c r="M151" s="108">
        <f t="shared" si="143"/>
        <v>234</v>
      </c>
      <c r="N151" s="108">
        <f t="shared" si="143"/>
        <v>1884</v>
      </c>
      <c r="O151" s="108">
        <f t="shared" si="143"/>
        <v>-2829</v>
      </c>
      <c r="P151" s="108">
        <f t="shared" si="143"/>
        <v>953</v>
      </c>
      <c r="Q151" s="108">
        <f t="shared" si="143"/>
        <v>441</v>
      </c>
      <c r="R151" s="108">
        <f t="shared" si="143"/>
        <v>512</v>
      </c>
      <c r="S151" s="63"/>
      <c r="T151" s="108">
        <f>T25</f>
        <v>-192</v>
      </c>
      <c r="U151" s="108">
        <f>U25</f>
        <v>568</v>
      </c>
      <c r="V151" s="108">
        <f>V25</f>
        <v>-760</v>
      </c>
      <c r="W151" s="63"/>
      <c r="X151" s="63"/>
      <c r="Y151" s="63"/>
      <c r="Z151" s="63"/>
      <c r="AA151" s="63" t="str">
        <f t="shared" si="130"/>
        <v xml:space="preserve">      Accrued Taxes, other than income</v>
      </c>
      <c r="AB151" s="108">
        <f t="shared" si="132"/>
        <v>953</v>
      </c>
      <c r="AC151" s="108">
        <f>AC25</f>
        <v>1664</v>
      </c>
      <c r="AD151" s="75">
        <f t="shared" si="133"/>
        <v>-711</v>
      </c>
      <c r="AE151" s="63"/>
      <c r="AF151" s="75">
        <f t="shared" si="134"/>
        <v>-192</v>
      </c>
      <c r="AG151" s="108">
        <f>AG25</f>
        <v>568</v>
      </c>
      <c r="AH151" s="75">
        <f t="shared" si="135"/>
        <v>-760</v>
      </c>
      <c r="AI151" s="63"/>
      <c r="AJ151" s="75">
        <f t="shared" si="136"/>
        <v>1096</v>
      </c>
      <c r="AK151" s="75">
        <f t="shared" si="137"/>
        <v>1145</v>
      </c>
      <c r="AL151" s="63"/>
      <c r="AM151" s="108">
        <f>AM25</f>
        <v>590</v>
      </c>
      <c r="AN151" s="75">
        <f t="shared" si="138"/>
        <v>363</v>
      </c>
      <c r="AO151" s="63"/>
      <c r="AP151" s="108">
        <f>AP25</f>
        <v>1301</v>
      </c>
      <c r="AQ151" s="75">
        <f t="shared" si="139"/>
        <v>363</v>
      </c>
      <c r="AR151" s="63"/>
      <c r="AS151" s="63"/>
      <c r="AT151" s="63"/>
      <c r="AU151" s="63"/>
    </row>
    <row r="152" spans="1:47" ht="12.75" customHeight="1">
      <c r="A152" s="106" t="s">
        <v>384</v>
      </c>
      <c r="B152" s="63"/>
      <c r="C152" s="63"/>
      <c r="D152" s="76">
        <v>0</v>
      </c>
      <c r="E152" s="76">
        <v>0</v>
      </c>
      <c r="F152" s="76">
        <v>0</v>
      </c>
      <c r="G152" s="76">
        <v>0</v>
      </c>
      <c r="H152" s="76">
        <v>0</v>
      </c>
      <c r="I152" s="76">
        <v>0</v>
      </c>
      <c r="J152" s="76">
        <v>0</v>
      </c>
      <c r="K152" s="76">
        <v>0</v>
      </c>
      <c r="L152" s="76">
        <v>0</v>
      </c>
      <c r="M152" s="76">
        <v>0</v>
      </c>
      <c r="N152" s="76">
        <v>0</v>
      </c>
      <c r="O152" s="76">
        <v>0</v>
      </c>
      <c r="P152" s="75">
        <f>SUM(D152:O152)</f>
        <v>0</v>
      </c>
      <c r="Q152" s="76">
        <f>SUM(D152:J152)</f>
        <v>0</v>
      </c>
      <c r="R152" s="75">
        <f>P152-Q152</f>
        <v>0</v>
      </c>
      <c r="S152" s="63"/>
      <c r="T152" s="76">
        <v>0</v>
      </c>
      <c r="U152" s="76">
        <v>0</v>
      </c>
      <c r="V152" s="75">
        <f>T152-U152</f>
        <v>0</v>
      </c>
      <c r="W152" s="63"/>
      <c r="X152" s="63"/>
      <c r="Y152" s="63"/>
      <c r="Z152" s="63"/>
      <c r="AA152" s="63" t="str">
        <f t="shared" si="130"/>
        <v xml:space="preserve">      Tax Refunds / Payments</v>
      </c>
      <c r="AB152" s="108">
        <f t="shared" si="132"/>
        <v>0</v>
      </c>
      <c r="AC152" s="76">
        <f>SUM(D152:L152)</f>
        <v>0</v>
      </c>
      <c r="AD152" s="75">
        <f t="shared" si="133"/>
        <v>0</v>
      </c>
      <c r="AE152" s="63"/>
      <c r="AF152" s="75">
        <f t="shared" si="134"/>
        <v>0</v>
      </c>
      <c r="AG152" s="76">
        <v>0</v>
      </c>
      <c r="AH152" s="75">
        <f t="shared" si="135"/>
        <v>0</v>
      </c>
      <c r="AI152" s="63"/>
      <c r="AJ152" s="75">
        <f t="shared" si="136"/>
        <v>0</v>
      </c>
      <c r="AK152" s="75">
        <f t="shared" si="137"/>
        <v>0</v>
      </c>
      <c r="AL152" s="63"/>
      <c r="AM152" s="76">
        <v>0</v>
      </c>
      <c r="AN152" s="75">
        <f t="shared" si="138"/>
        <v>0</v>
      </c>
      <c r="AO152" s="63"/>
      <c r="AP152" s="76">
        <v>0</v>
      </c>
      <c r="AQ152" s="75">
        <f t="shared" si="139"/>
        <v>0</v>
      </c>
      <c r="AR152" s="63"/>
      <c r="AS152" s="63"/>
      <c r="AT152" s="63"/>
      <c r="AU152" s="63"/>
    </row>
    <row r="153" spans="1:47" ht="12.75" customHeight="1">
      <c r="A153" s="106" t="s">
        <v>411</v>
      </c>
      <c r="B153" s="63"/>
      <c r="C153" s="63"/>
      <c r="D153" s="109">
        <f t="shared" ref="D153:R153" si="144">D17+D23+D26</f>
        <v>4103</v>
      </c>
      <c r="E153" s="109">
        <f t="shared" si="144"/>
        <v>-11219</v>
      </c>
      <c r="F153" s="109">
        <f t="shared" si="144"/>
        <v>6362</v>
      </c>
      <c r="G153" s="109">
        <f t="shared" si="144"/>
        <v>-1327</v>
      </c>
      <c r="H153" s="109">
        <f t="shared" si="144"/>
        <v>-2413</v>
      </c>
      <c r="I153" s="109">
        <f t="shared" si="144"/>
        <v>926</v>
      </c>
      <c r="J153" s="109">
        <f t="shared" si="144"/>
        <v>-2671</v>
      </c>
      <c r="K153" s="109">
        <f t="shared" si="144"/>
        <v>485</v>
      </c>
      <c r="L153" s="109">
        <f t="shared" si="144"/>
        <v>-2382</v>
      </c>
      <c r="M153" s="109">
        <f t="shared" si="144"/>
        <v>596</v>
      </c>
      <c r="N153" s="109">
        <f t="shared" si="144"/>
        <v>1096</v>
      </c>
      <c r="O153" s="109">
        <f t="shared" si="144"/>
        <v>-10733</v>
      </c>
      <c r="P153" s="109">
        <f t="shared" si="144"/>
        <v>-17177</v>
      </c>
      <c r="Q153" s="109">
        <f t="shared" si="144"/>
        <v>-6239</v>
      </c>
      <c r="R153" s="109">
        <f t="shared" si="144"/>
        <v>-10938</v>
      </c>
      <c r="S153" s="63"/>
      <c r="T153" s="109">
        <f>T17+T23+T26</f>
        <v>-7993</v>
      </c>
      <c r="U153" s="109">
        <f>U17+U23+U26</f>
        <v>269</v>
      </c>
      <c r="V153" s="109">
        <f>V17+V23+V26</f>
        <v>-8262</v>
      </c>
      <c r="W153" s="63"/>
      <c r="X153" s="63"/>
      <c r="Y153" s="63"/>
      <c r="Z153" s="63"/>
      <c r="AA153" s="63" t="str">
        <f t="shared" si="130"/>
        <v xml:space="preserve">      Other (Including Inventory and Prepayments)</v>
      </c>
      <c r="AB153" s="109">
        <f t="shared" si="132"/>
        <v>-17177</v>
      </c>
      <c r="AC153" s="109">
        <f>AC17+AC23+AC26</f>
        <v>-8136</v>
      </c>
      <c r="AD153" s="80">
        <f t="shared" si="133"/>
        <v>-9041</v>
      </c>
      <c r="AE153" s="81"/>
      <c r="AF153" s="80">
        <f t="shared" si="134"/>
        <v>-7993</v>
      </c>
      <c r="AG153" s="109">
        <f>AG17+AG23+AG26</f>
        <v>269</v>
      </c>
      <c r="AH153" s="80">
        <f t="shared" si="135"/>
        <v>-8262</v>
      </c>
      <c r="AI153" s="63"/>
      <c r="AJ153" s="80">
        <f t="shared" si="136"/>
        <v>-8405</v>
      </c>
      <c r="AK153" s="80">
        <f t="shared" si="137"/>
        <v>-9184</v>
      </c>
      <c r="AL153" s="63"/>
      <c r="AM153" s="109">
        <f>AM17+AM23+AM26</f>
        <v>-13892</v>
      </c>
      <c r="AN153" s="80">
        <f t="shared" si="138"/>
        <v>-3285</v>
      </c>
      <c r="AO153" s="63"/>
      <c r="AP153" s="109">
        <f>AP17+AP23+AP26</f>
        <v>-5091</v>
      </c>
      <c r="AQ153" s="80">
        <f t="shared" si="139"/>
        <v>-3045</v>
      </c>
      <c r="AR153" s="63"/>
      <c r="AS153" s="63"/>
      <c r="AT153" s="63"/>
      <c r="AU153" s="63"/>
    </row>
    <row r="154" spans="1:47" ht="3.95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0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</row>
    <row r="155" spans="1:47" ht="12.75" customHeight="1">
      <c r="A155" s="106" t="s">
        <v>412</v>
      </c>
      <c r="B155" s="63"/>
      <c r="C155" s="63"/>
      <c r="D155" s="109">
        <f>SUM(D146:D153)</f>
        <v>52965</v>
      </c>
      <c r="E155" s="109">
        <f t="shared" ref="E155:T155" si="145">SUM(E146:E153)</f>
        <v>-44067</v>
      </c>
      <c r="F155" s="109">
        <f t="shared" si="145"/>
        <v>-6731</v>
      </c>
      <c r="G155" s="109">
        <f t="shared" si="145"/>
        <v>12272</v>
      </c>
      <c r="H155" s="109">
        <f t="shared" si="145"/>
        <v>218</v>
      </c>
      <c r="I155" s="109">
        <f t="shared" si="145"/>
        <v>-17032</v>
      </c>
      <c r="J155" s="109">
        <f t="shared" si="145"/>
        <v>5381</v>
      </c>
      <c r="K155" s="109">
        <f t="shared" si="145"/>
        <v>8364</v>
      </c>
      <c r="L155" s="109">
        <f t="shared" si="145"/>
        <v>-1428</v>
      </c>
      <c r="M155" s="109">
        <f t="shared" si="145"/>
        <v>329</v>
      </c>
      <c r="N155" s="109">
        <f t="shared" si="145"/>
        <v>-32511</v>
      </c>
      <c r="O155" s="109">
        <f t="shared" si="145"/>
        <v>-21766</v>
      </c>
      <c r="P155" s="109">
        <f t="shared" si="145"/>
        <v>-44006</v>
      </c>
      <c r="Q155" s="109">
        <f t="shared" si="145"/>
        <v>3006</v>
      </c>
      <c r="R155" s="109">
        <f t="shared" si="145"/>
        <v>-47012</v>
      </c>
      <c r="S155" s="63"/>
      <c r="T155" s="109">
        <f t="shared" si="145"/>
        <v>-21109</v>
      </c>
      <c r="U155" s="109">
        <f>SUM(U146:U153)</f>
        <v>20466</v>
      </c>
      <c r="V155" s="109">
        <f>SUM(V146:V153)</f>
        <v>-41575</v>
      </c>
      <c r="W155" s="63"/>
      <c r="X155" s="63"/>
      <c r="Y155" s="63"/>
      <c r="Z155" s="63"/>
      <c r="AA155" s="63" t="str">
        <f>A155</f>
        <v xml:space="preserve">            Total Working Capital Changes</v>
      </c>
      <c r="AB155" s="109">
        <f>SUM(AB146:AB153)</f>
        <v>-44006</v>
      </c>
      <c r="AC155" s="109">
        <f>SUM(AC146:AC153)</f>
        <v>9942</v>
      </c>
      <c r="AD155" s="109">
        <f>SUM(AD146:AD153)</f>
        <v>-53948</v>
      </c>
      <c r="AE155" s="63"/>
      <c r="AF155" s="109">
        <f>SUM(AF146:AF153)</f>
        <v>-21109</v>
      </c>
      <c r="AG155" s="109">
        <f>SUM(AG146:AG153)</f>
        <v>20466</v>
      </c>
      <c r="AH155" s="109">
        <f>SUM(AH146:AH153)</f>
        <v>-41575</v>
      </c>
      <c r="AI155" s="63"/>
      <c r="AJ155" s="109">
        <f>SUM(AJ146:AJ153)</f>
        <v>-10524</v>
      </c>
      <c r="AK155" s="109">
        <f>SUM(AK146:AK153)</f>
        <v>-22897</v>
      </c>
      <c r="AL155" s="63"/>
      <c r="AM155" s="109">
        <f>SUM(AM146:AM153)</f>
        <v>-35721</v>
      </c>
      <c r="AN155" s="109">
        <f>SUM(AN146:AN153)</f>
        <v>-8285</v>
      </c>
      <c r="AO155" s="63"/>
      <c r="AP155" s="109">
        <f>SUM(AP146:AP153)</f>
        <v>14102</v>
      </c>
      <c r="AQ155" s="109">
        <f>SUM(AQ146:AQ153)</f>
        <v>-4160</v>
      </c>
      <c r="AR155" s="63"/>
      <c r="AS155" s="63"/>
      <c r="AT155" s="63"/>
      <c r="AU155" s="63"/>
    </row>
    <row r="156" spans="1:47" ht="6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0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</row>
    <row r="157" spans="1:47" ht="12.75" customHeight="1">
      <c r="A157" s="106" t="s">
        <v>413</v>
      </c>
      <c r="B157" s="63"/>
      <c r="C157" s="63"/>
      <c r="D157" s="108">
        <f>D143+D155</f>
        <v>77455</v>
      </c>
      <c r="E157" s="108">
        <f t="shared" ref="E157:T157" si="146">E143+E155</f>
        <v>-18821</v>
      </c>
      <c r="F157" s="108">
        <f t="shared" si="146"/>
        <v>10798</v>
      </c>
      <c r="G157" s="108">
        <f t="shared" si="146"/>
        <v>42462</v>
      </c>
      <c r="H157" s="108">
        <f t="shared" si="146"/>
        <v>10769</v>
      </c>
      <c r="I157" s="108">
        <f t="shared" si="146"/>
        <v>-8028</v>
      </c>
      <c r="J157" s="108">
        <f t="shared" si="146"/>
        <v>14242</v>
      </c>
      <c r="K157" s="108">
        <f t="shared" si="146"/>
        <v>19945</v>
      </c>
      <c r="L157" s="108">
        <f t="shared" si="146"/>
        <v>6000</v>
      </c>
      <c r="M157" s="108">
        <f t="shared" si="146"/>
        <v>-7639</v>
      </c>
      <c r="N157" s="108">
        <f t="shared" si="146"/>
        <v>-13041</v>
      </c>
      <c r="O157" s="108">
        <f t="shared" si="146"/>
        <v>-12030</v>
      </c>
      <c r="P157" s="108">
        <f t="shared" si="146"/>
        <v>122112</v>
      </c>
      <c r="Q157" s="108">
        <f t="shared" si="146"/>
        <v>128877</v>
      </c>
      <c r="R157" s="108">
        <f t="shared" si="146"/>
        <v>-6765</v>
      </c>
      <c r="S157" s="63"/>
      <c r="T157" s="108">
        <f t="shared" si="146"/>
        <v>121900</v>
      </c>
      <c r="U157" s="108">
        <f>U143+U155</f>
        <v>117000</v>
      </c>
      <c r="V157" s="108">
        <f>V143+V155</f>
        <v>4900</v>
      </c>
      <c r="W157" s="63"/>
      <c r="X157" s="63"/>
      <c r="Y157" s="63"/>
      <c r="Z157" s="63"/>
      <c r="AA157" s="60" t="str">
        <f>A157</f>
        <v>TOTAL CASH FLOW FROM OPERATING ACTIVITIES</v>
      </c>
      <c r="AB157" s="108">
        <f>AB143+AB155</f>
        <v>122112</v>
      </c>
      <c r="AC157" s="108">
        <f>AC143+AC155</f>
        <v>154822</v>
      </c>
      <c r="AD157" s="108">
        <f>AD143+AD155</f>
        <v>-32710</v>
      </c>
      <c r="AE157" s="63"/>
      <c r="AF157" s="108">
        <f t="shared" ref="AF157:AK157" si="147">AF143+AF155</f>
        <v>121900</v>
      </c>
      <c r="AG157" s="108">
        <f t="shared" si="147"/>
        <v>117000</v>
      </c>
      <c r="AH157" s="108">
        <f t="shared" si="147"/>
        <v>4900</v>
      </c>
      <c r="AI157" s="63"/>
      <c r="AJ157" s="108">
        <f t="shared" si="147"/>
        <v>37822</v>
      </c>
      <c r="AK157" s="108">
        <f t="shared" si="147"/>
        <v>212</v>
      </c>
      <c r="AL157" s="63"/>
      <c r="AM157" s="108">
        <f>AM143+AM155</f>
        <v>117924</v>
      </c>
      <c r="AN157" s="108">
        <f>AN143+AN155</f>
        <v>4188</v>
      </c>
      <c r="AO157" s="63"/>
      <c r="AP157" s="108">
        <f>AP143+AP155</f>
        <v>149315</v>
      </c>
      <c r="AQ157" s="108">
        <f>AQ143+AQ155</f>
        <v>5507</v>
      </c>
      <c r="AR157" s="63"/>
      <c r="AS157" s="63"/>
      <c r="AT157" s="63"/>
      <c r="AU157" s="63"/>
    </row>
    <row r="158" spans="1:47" ht="6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0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</row>
    <row r="159" spans="1:47" ht="12.75" customHeight="1">
      <c r="A159" s="63" t="str">
        <f t="shared" ref="A159:A164" si="148">A38</f>
        <v>CASH FLOW FROM INVESTING ACTIVITIES</v>
      </c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 t="str">
        <f t="shared" ref="AA159:AA164" si="149">A159</f>
        <v>CASH FLOW FROM INVESTING ACTIVITIES</v>
      </c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</row>
    <row r="160" spans="1:47" ht="12.75" customHeight="1">
      <c r="A160" s="63" t="str">
        <f t="shared" si="148"/>
        <v xml:space="preserve">   Proceeds from Sale (Various)</v>
      </c>
      <c r="B160" s="63"/>
      <c r="C160" s="63"/>
      <c r="D160" s="108">
        <f t="shared" ref="D160:R160" si="150">D39</f>
        <v>0</v>
      </c>
      <c r="E160" s="108">
        <f t="shared" si="150"/>
        <v>0</v>
      </c>
      <c r="F160" s="108">
        <f t="shared" si="150"/>
        <v>0</v>
      </c>
      <c r="G160" s="108">
        <f t="shared" si="150"/>
        <v>0</v>
      </c>
      <c r="H160" s="108">
        <f t="shared" si="150"/>
        <v>0</v>
      </c>
      <c r="I160" s="108">
        <f t="shared" si="150"/>
        <v>3353</v>
      </c>
      <c r="J160" s="108">
        <f t="shared" si="150"/>
        <v>0</v>
      </c>
      <c r="K160" s="108">
        <f t="shared" si="150"/>
        <v>0</v>
      </c>
      <c r="L160" s="108">
        <f t="shared" si="150"/>
        <v>0</v>
      </c>
      <c r="M160" s="108">
        <f t="shared" si="150"/>
        <v>0</v>
      </c>
      <c r="N160" s="108">
        <f t="shared" si="150"/>
        <v>0</v>
      </c>
      <c r="O160" s="108">
        <f t="shared" si="150"/>
        <v>2300</v>
      </c>
      <c r="P160" s="108">
        <f t="shared" si="150"/>
        <v>5653</v>
      </c>
      <c r="Q160" s="108">
        <f t="shared" si="150"/>
        <v>3353</v>
      </c>
      <c r="R160" s="108">
        <f t="shared" si="150"/>
        <v>2300</v>
      </c>
      <c r="S160" s="63"/>
      <c r="T160" s="108">
        <f t="shared" ref="T160:V164" si="151">T39</f>
        <v>7500</v>
      </c>
      <c r="U160" s="108">
        <f t="shared" si="151"/>
        <v>7500</v>
      </c>
      <c r="V160" s="108">
        <f t="shared" si="151"/>
        <v>0</v>
      </c>
      <c r="W160" s="63"/>
      <c r="X160" s="63"/>
      <c r="Y160" s="63"/>
      <c r="Z160" s="63"/>
      <c r="AA160" s="63" t="str">
        <f t="shared" si="149"/>
        <v xml:space="preserve">   Proceeds from Sale (Various)</v>
      </c>
      <c r="AB160" s="108">
        <f>P160</f>
        <v>5653</v>
      </c>
      <c r="AC160" s="108">
        <f>AC39</f>
        <v>3353</v>
      </c>
      <c r="AD160" s="75">
        <f>AB160-AC160</f>
        <v>2300</v>
      </c>
      <c r="AE160" s="63"/>
      <c r="AF160" s="75">
        <f>T160</f>
        <v>7500</v>
      </c>
      <c r="AG160" s="108">
        <f>AG39</f>
        <v>7500</v>
      </c>
      <c r="AH160" s="75">
        <f>AF160-AG160</f>
        <v>0</v>
      </c>
      <c r="AI160" s="63"/>
      <c r="AJ160" s="75">
        <f>AC160-AG160</f>
        <v>-4147</v>
      </c>
      <c r="AK160" s="75">
        <f>AB160-AF160</f>
        <v>-1847</v>
      </c>
      <c r="AL160" s="63"/>
      <c r="AM160" s="108">
        <f>AM39</f>
        <v>11500</v>
      </c>
      <c r="AN160" s="75">
        <f>AB160-AM160</f>
        <v>-5847</v>
      </c>
      <c r="AO160" s="63"/>
      <c r="AP160" s="108">
        <f>AP39</f>
        <v>3400</v>
      </c>
      <c r="AQ160" s="75">
        <f>AC160-AP160</f>
        <v>-47</v>
      </c>
      <c r="AR160" s="63"/>
      <c r="AS160" s="63"/>
      <c r="AT160" s="63"/>
      <c r="AU160" s="63"/>
    </row>
    <row r="161" spans="1:47" ht="12.75" customHeight="1">
      <c r="A161" s="63" t="str">
        <f t="shared" si="148"/>
        <v xml:space="preserve">   Additions to Property </v>
      </c>
      <c r="B161" s="63"/>
      <c r="C161" s="63"/>
      <c r="D161" s="108">
        <f t="shared" ref="D161:R161" si="152">D40</f>
        <v>-280</v>
      </c>
      <c r="E161" s="108">
        <f t="shared" si="152"/>
        <v>861</v>
      </c>
      <c r="F161" s="108">
        <f t="shared" si="152"/>
        <v>-3798</v>
      </c>
      <c r="G161" s="108">
        <f t="shared" si="152"/>
        <v>-4249</v>
      </c>
      <c r="H161" s="108">
        <f t="shared" si="152"/>
        <v>-3725</v>
      </c>
      <c r="I161" s="108">
        <f t="shared" si="152"/>
        <v>-932</v>
      </c>
      <c r="J161" s="108">
        <f t="shared" si="152"/>
        <v>-5769</v>
      </c>
      <c r="K161" s="108">
        <f t="shared" si="152"/>
        <v>-10518</v>
      </c>
      <c r="L161" s="108">
        <f t="shared" si="152"/>
        <v>-11400</v>
      </c>
      <c r="M161" s="108">
        <f t="shared" si="152"/>
        <v>-12961</v>
      </c>
      <c r="N161" s="108">
        <f t="shared" si="152"/>
        <v>-12959</v>
      </c>
      <c r="O161" s="108">
        <f t="shared" si="152"/>
        <v>-8570</v>
      </c>
      <c r="P161" s="108">
        <f t="shared" si="152"/>
        <v>-74300</v>
      </c>
      <c r="Q161" s="108">
        <f t="shared" si="152"/>
        <v>-17892</v>
      </c>
      <c r="R161" s="108">
        <f t="shared" si="152"/>
        <v>-56408</v>
      </c>
      <c r="S161" s="63"/>
      <c r="T161" s="108">
        <f t="shared" si="151"/>
        <v>-83700</v>
      </c>
      <c r="U161" s="108">
        <f t="shared" si="151"/>
        <v>-67600</v>
      </c>
      <c r="V161" s="108">
        <f t="shared" si="151"/>
        <v>-16100</v>
      </c>
      <c r="W161" s="63"/>
      <c r="X161" s="63"/>
      <c r="Y161" s="63"/>
      <c r="Z161" s="63"/>
      <c r="AA161" s="63" t="str">
        <f t="shared" si="149"/>
        <v xml:space="preserve">   Additions to Property </v>
      </c>
      <c r="AB161" s="108">
        <f>P161</f>
        <v>-74300</v>
      </c>
      <c r="AC161" s="108">
        <f>AC40</f>
        <v>-39810</v>
      </c>
      <c r="AD161" s="75">
        <f>AB161-AC161</f>
        <v>-34490</v>
      </c>
      <c r="AE161" s="63"/>
      <c r="AF161" s="75">
        <f>T161</f>
        <v>-83700</v>
      </c>
      <c r="AG161" s="108">
        <f>AG40</f>
        <v>-67600</v>
      </c>
      <c r="AH161" s="75">
        <f>AF161-AG161</f>
        <v>-16100</v>
      </c>
      <c r="AI161" s="63"/>
      <c r="AJ161" s="75">
        <f>AC161-AG161</f>
        <v>27790</v>
      </c>
      <c r="AK161" s="75">
        <f>AB161-AF161</f>
        <v>9400</v>
      </c>
      <c r="AL161" s="63"/>
      <c r="AM161" s="108">
        <f>AM40</f>
        <v>-83700</v>
      </c>
      <c r="AN161" s="75">
        <f>AB161-AM161</f>
        <v>9400</v>
      </c>
      <c r="AO161" s="63"/>
      <c r="AP161" s="108">
        <f>AP40</f>
        <v>-46941</v>
      </c>
      <c r="AQ161" s="75">
        <f>AC161-AP161</f>
        <v>7131</v>
      </c>
      <c r="AR161" s="63"/>
      <c r="AS161" s="63"/>
      <c r="AT161" s="63"/>
      <c r="AU161" s="63"/>
    </row>
    <row r="162" spans="1:47" ht="12.75" customHeight="1">
      <c r="A162" s="63" t="str">
        <f t="shared" si="148"/>
        <v xml:space="preserve">   Other Capital Expenditures</v>
      </c>
      <c r="B162" s="63"/>
      <c r="C162" s="63"/>
      <c r="D162" s="108">
        <f t="shared" ref="D162:R162" si="153">D41</f>
        <v>-45815</v>
      </c>
      <c r="E162" s="108">
        <f t="shared" si="153"/>
        <v>-11147</v>
      </c>
      <c r="F162" s="108">
        <f t="shared" si="153"/>
        <v>1541</v>
      </c>
      <c r="G162" s="108">
        <f t="shared" si="153"/>
        <v>9352</v>
      </c>
      <c r="H162" s="108">
        <f t="shared" si="153"/>
        <v>4793</v>
      </c>
      <c r="I162" s="108">
        <f t="shared" si="153"/>
        <v>4071</v>
      </c>
      <c r="J162" s="108">
        <f t="shared" si="153"/>
        <v>3220</v>
      </c>
      <c r="K162" s="108">
        <f t="shared" si="153"/>
        <v>2022</v>
      </c>
      <c r="L162" s="108">
        <f t="shared" si="153"/>
        <v>0</v>
      </c>
      <c r="M162" s="108">
        <f t="shared" si="153"/>
        <v>4000</v>
      </c>
      <c r="N162" s="108">
        <f t="shared" si="153"/>
        <v>4000</v>
      </c>
      <c r="O162" s="108">
        <f t="shared" si="153"/>
        <v>4000</v>
      </c>
      <c r="P162" s="108">
        <f t="shared" si="153"/>
        <v>-19963</v>
      </c>
      <c r="Q162" s="108">
        <f t="shared" si="153"/>
        <v>-33985</v>
      </c>
      <c r="R162" s="108">
        <f t="shared" si="153"/>
        <v>14022</v>
      </c>
      <c r="S162" s="63"/>
      <c r="T162" s="108">
        <f t="shared" si="151"/>
        <v>-7000</v>
      </c>
      <c r="U162" s="108">
        <f t="shared" si="151"/>
        <v>-10000</v>
      </c>
      <c r="V162" s="108">
        <f t="shared" si="151"/>
        <v>3000</v>
      </c>
      <c r="W162" s="63"/>
      <c r="X162" s="63"/>
      <c r="Y162" s="63"/>
      <c r="Z162" s="63"/>
      <c r="AA162" s="63" t="str">
        <f t="shared" si="149"/>
        <v xml:space="preserve">   Other Capital Expenditures</v>
      </c>
      <c r="AB162" s="108">
        <f>P162</f>
        <v>-19963</v>
      </c>
      <c r="AC162" s="108">
        <f>AC41</f>
        <v>-31963</v>
      </c>
      <c r="AD162" s="75">
        <f>AB162-AC162</f>
        <v>12000</v>
      </c>
      <c r="AE162" s="63"/>
      <c r="AF162" s="75">
        <f>T162</f>
        <v>-7000</v>
      </c>
      <c r="AG162" s="108">
        <f>AG41</f>
        <v>-10000</v>
      </c>
      <c r="AH162" s="75">
        <f>AF162-AG162</f>
        <v>3000</v>
      </c>
      <c r="AI162" s="63"/>
      <c r="AJ162" s="75">
        <f>AC162-AG162</f>
        <v>-21963</v>
      </c>
      <c r="AK162" s="75">
        <f>AB162-AF162</f>
        <v>-12963</v>
      </c>
      <c r="AL162" s="63"/>
      <c r="AM162" s="108">
        <f>AM41</f>
        <v>-25205</v>
      </c>
      <c r="AN162" s="75">
        <f>AB162-AM162</f>
        <v>5242</v>
      </c>
      <c r="AO162" s="63"/>
      <c r="AP162" s="108">
        <f>AP41</f>
        <v>-37205</v>
      </c>
      <c r="AQ162" s="75">
        <f>AC162-AP162</f>
        <v>5242</v>
      </c>
      <c r="AR162" s="63"/>
      <c r="AS162" s="63"/>
      <c r="AT162" s="63"/>
      <c r="AU162" s="63"/>
    </row>
    <row r="163" spans="1:47" ht="12.75" customHeight="1">
      <c r="A163" s="63" t="str">
        <f t="shared" si="148"/>
        <v xml:space="preserve">   Other Investments (McDay Energy / Misc.)</v>
      </c>
      <c r="B163" s="63"/>
      <c r="C163" s="63"/>
      <c r="D163" s="108">
        <f t="shared" ref="D163:R163" si="154">D42</f>
        <v>0</v>
      </c>
      <c r="E163" s="108">
        <f t="shared" si="154"/>
        <v>0</v>
      </c>
      <c r="F163" s="108">
        <f t="shared" si="154"/>
        <v>0</v>
      </c>
      <c r="G163" s="108">
        <f t="shared" si="154"/>
        <v>0</v>
      </c>
      <c r="H163" s="108">
        <f t="shared" si="154"/>
        <v>0</v>
      </c>
      <c r="I163" s="108">
        <f t="shared" si="154"/>
        <v>0</v>
      </c>
      <c r="J163" s="108">
        <f t="shared" si="154"/>
        <v>0</v>
      </c>
      <c r="K163" s="108">
        <f t="shared" si="154"/>
        <v>0</v>
      </c>
      <c r="L163" s="108">
        <f t="shared" si="154"/>
        <v>0</v>
      </c>
      <c r="M163" s="108">
        <f t="shared" si="154"/>
        <v>0</v>
      </c>
      <c r="N163" s="108">
        <f t="shared" si="154"/>
        <v>0</v>
      </c>
      <c r="O163" s="108">
        <f t="shared" si="154"/>
        <v>0</v>
      </c>
      <c r="P163" s="108">
        <f t="shared" si="154"/>
        <v>0</v>
      </c>
      <c r="Q163" s="108">
        <f t="shared" si="154"/>
        <v>0</v>
      </c>
      <c r="R163" s="108">
        <f t="shared" si="154"/>
        <v>0</v>
      </c>
      <c r="S163" s="63"/>
      <c r="T163" s="108">
        <f t="shared" si="151"/>
        <v>0</v>
      </c>
      <c r="U163" s="108">
        <f t="shared" si="151"/>
        <v>0</v>
      </c>
      <c r="V163" s="108">
        <f t="shared" si="151"/>
        <v>0</v>
      </c>
      <c r="W163" s="63"/>
      <c r="X163" s="63"/>
      <c r="Y163" s="63"/>
      <c r="Z163" s="63"/>
      <c r="AA163" s="63" t="str">
        <f t="shared" si="149"/>
        <v xml:space="preserve">   Other Investments (McDay Energy / Misc.)</v>
      </c>
      <c r="AB163" s="108">
        <f>P163</f>
        <v>0</v>
      </c>
      <c r="AC163" s="108">
        <f>AC42</f>
        <v>0</v>
      </c>
      <c r="AD163" s="75">
        <f>AB163-AC163</f>
        <v>0</v>
      </c>
      <c r="AE163" s="63"/>
      <c r="AF163" s="75">
        <f>T163</f>
        <v>0</v>
      </c>
      <c r="AG163" s="108">
        <f>AG42</f>
        <v>0</v>
      </c>
      <c r="AH163" s="75">
        <f>AF163-AG163</f>
        <v>0</v>
      </c>
      <c r="AI163" s="63"/>
      <c r="AJ163" s="75">
        <f>AC163-AG163</f>
        <v>0</v>
      </c>
      <c r="AK163" s="75">
        <f>AB163-AF163</f>
        <v>0</v>
      </c>
      <c r="AL163" s="63"/>
      <c r="AM163" s="108">
        <f>AM42</f>
        <v>0</v>
      </c>
      <c r="AN163" s="75">
        <f>AB163-AM163</f>
        <v>0</v>
      </c>
      <c r="AO163" s="63"/>
      <c r="AP163" s="108">
        <f>AP42</f>
        <v>0</v>
      </c>
      <c r="AQ163" s="75">
        <f>AC163-AP163</f>
        <v>0</v>
      </c>
      <c r="AR163" s="63"/>
      <c r="AS163" s="63"/>
      <c r="AT163" s="63"/>
      <c r="AU163" s="63"/>
    </row>
    <row r="164" spans="1:47" ht="12.75" customHeight="1">
      <c r="A164" s="63" t="str">
        <f t="shared" si="148"/>
        <v xml:space="preserve">   Other (Net Salvage &amp; Removal)</v>
      </c>
      <c r="B164" s="63"/>
      <c r="C164" s="63"/>
      <c r="D164" s="109">
        <f t="shared" ref="D164:R164" si="155">D43</f>
        <v>4</v>
      </c>
      <c r="E164" s="109">
        <f t="shared" si="155"/>
        <v>11</v>
      </c>
      <c r="F164" s="109">
        <f t="shared" si="155"/>
        <v>-247</v>
      </c>
      <c r="G164" s="109">
        <f t="shared" si="155"/>
        <v>-108</v>
      </c>
      <c r="H164" s="109">
        <f t="shared" si="155"/>
        <v>1508</v>
      </c>
      <c r="I164" s="109">
        <f t="shared" si="155"/>
        <v>-2197</v>
      </c>
      <c r="J164" s="109">
        <f t="shared" si="155"/>
        <v>8</v>
      </c>
      <c r="K164" s="109">
        <f t="shared" si="155"/>
        <v>0</v>
      </c>
      <c r="L164" s="109">
        <f t="shared" si="155"/>
        <v>0</v>
      </c>
      <c r="M164" s="109">
        <f t="shared" si="155"/>
        <v>0</v>
      </c>
      <c r="N164" s="109">
        <f t="shared" si="155"/>
        <v>0</v>
      </c>
      <c r="O164" s="109">
        <f t="shared" si="155"/>
        <v>0</v>
      </c>
      <c r="P164" s="109">
        <f t="shared" si="155"/>
        <v>-1021</v>
      </c>
      <c r="Q164" s="109">
        <f t="shared" si="155"/>
        <v>-1021</v>
      </c>
      <c r="R164" s="109">
        <f t="shared" si="155"/>
        <v>0</v>
      </c>
      <c r="S164" s="63"/>
      <c r="T164" s="109">
        <f t="shared" si="151"/>
        <v>0</v>
      </c>
      <c r="U164" s="109">
        <f t="shared" si="151"/>
        <v>0</v>
      </c>
      <c r="V164" s="109">
        <f t="shared" si="151"/>
        <v>0</v>
      </c>
      <c r="W164" s="63"/>
      <c r="X164" s="63"/>
      <c r="Y164" s="63"/>
      <c r="Z164" s="63"/>
      <c r="AA164" s="63" t="str">
        <f t="shared" si="149"/>
        <v xml:space="preserve">   Other (Net Salvage &amp; Removal)</v>
      </c>
      <c r="AB164" s="109">
        <f>P164</f>
        <v>-1021</v>
      </c>
      <c r="AC164" s="109">
        <f>AC43</f>
        <v>-1021</v>
      </c>
      <c r="AD164" s="80">
        <f>AB164-AC164</f>
        <v>0</v>
      </c>
      <c r="AE164" s="81"/>
      <c r="AF164" s="80">
        <f>T164</f>
        <v>0</v>
      </c>
      <c r="AG164" s="109">
        <f>AG43</f>
        <v>0</v>
      </c>
      <c r="AH164" s="80">
        <f>AF164-AG164</f>
        <v>0</v>
      </c>
      <c r="AI164" s="63"/>
      <c r="AJ164" s="80">
        <f>AC164-AG164</f>
        <v>-1021</v>
      </c>
      <c r="AK164" s="80">
        <f>AB164-AF164</f>
        <v>-1021</v>
      </c>
      <c r="AL164" s="63"/>
      <c r="AM164" s="109">
        <f>AM43</f>
        <v>-1030</v>
      </c>
      <c r="AN164" s="80">
        <f>AB164-AM164</f>
        <v>9</v>
      </c>
      <c r="AO164" s="63"/>
      <c r="AP164" s="109">
        <f>AP43</f>
        <v>-1030</v>
      </c>
      <c r="AQ164" s="80">
        <f>AC164-AP164</f>
        <v>9</v>
      </c>
      <c r="AR164" s="63"/>
      <c r="AS164" s="63"/>
      <c r="AT164" s="63"/>
      <c r="AU164" s="63"/>
    </row>
    <row r="165" spans="1:47" ht="3.95" customHeight="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0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</row>
    <row r="166" spans="1:47" ht="12.75" customHeight="1">
      <c r="A166" s="63" t="str">
        <f>A45</f>
        <v xml:space="preserve">      Cash Provided by (Used in) Investing Activities</v>
      </c>
      <c r="B166" s="63"/>
      <c r="C166" s="63"/>
      <c r="D166" s="109">
        <f>SUM(D160:D165)</f>
        <v>-46091</v>
      </c>
      <c r="E166" s="109">
        <f t="shared" ref="E166:T166" si="156">SUM(E160:E165)</f>
        <v>-10275</v>
      </c>
      <c r="F166" s="109">
        <f t="shared" si="156"/>
        <v>-2504</v>
      </c>
      <c r="G166" s="109">
        <f t="shared" si="156"/>
        <v>4995</v>
      </c>
      <c r="H166" s="109">
        <f t="shared" si="156"/>
        <v>2576</v>
      </c>
      <c r="I166" s="109">
        <f t="shared" si="156"/>
        <v>4295</v>
      </c>
      <c r="J166" s="109">
        <f t="shared" si="156"/>
        <v>-2541</v>
      </c>
      <c r="K166" s="109">
        <f t="shared" si="156"/>
        <v>-8496</v>
      </c>
      <c r="L166" s="109">
        <f t="shared" si="156"/>
        <v>-11400</v>
      </c>
      <c r="M166" s="109">
        <f t="shared" si="156"/>
        <v>-8961</v>
      </c>
      <c r="N166" s="109">
        <f t="shared" si="156"/>
        <v>-8959</v>
      </c>
      <c r="O166" s="109">
        <f t="shared" si="156"/>
        <v>-2270</v>
      </c>
      <c r="P166" s="109">
        <f t="shared" si="156"/>
        <v>-89631</v>
      </c>
      <c r="Q166" s="109">
        <f t="shared" si="156"/>
        <v>-49545</v>
      </c>
      <c r="R166" s="109">
        <f t="shared" si="156"/>
        <v>-40086</v>
      </c>
      <c r="S166" s="63"/>
      <c r="T166" s="109">
        <f t="shared" si="156"/>
        <v>-83200</v>
      </c>
      <c r="U166" s="109">
        <f>SUM(U160:U165)</f>
        <v>-70100</v>
      </c>
      <c r="V166" s="109">
        <f>SUM(V160:V165)</f>
        <v>-13100</v>
      </c>
      <c r="W166" s="63"/>
      <c r="X166" s="63"/>
      <c r="Y166" s="63"/>
      <c r="Z166" s="63"/>
      <c r="AA166" s="63" t="str">
        <f>A166</f>
        <v xml:space="preserve">      Cash Provided by (Used in) Investing Activities</v>
      </c>
      <c r="AB166" s="109">
        <f>SUM(AB160:AB165)</f>
        <v>-89631</v>
      </c>
      <c r="AC166" s="109">
        <f>SUM(AC160:AC165)</f>
        <v>-69441</v>
      </c>
      <c r="AD166" s="109">
        <f>SUM(AD160:AD165)</f>
        <v>-20190</v>
      </c>
      <c r="AE166" s="63"/>
      <c r="AF166" s="109">
        <f t="shared" ref="AF166:AK166" si="157">SUM(AF160:AF165)</f>
        <v>-83200</v>
      </c>
      <c r="AG166" s="109">
        <f t="shared" si="157"/>
        <v>-70100</v>
      </c>
      <c r="AH166" s="109">
        <f t="shared" si="157"/>
        <v>-13100</v>
      </c>
      <c r="AI166" s="63"/>
      <c r="AJ166" s="109">
        <f t="shared" si="157"/>
        <v>659</v>
      </c>
      <c r="AK166" s="109">
        <f t="shared" si="157"/>
        <v>-6431</v>
      </c>
      <c r="AL166" s="63"/>
      <c r="AM166" s="109">
        <f>SUM(AM160:AM165)</f>
        <v>-98435</v>
      </c>
      <c r="AN166" s="109">
        <f>SUM(AN160:AN165)</f>
        <v>8804</v>
      </c>
      <c r="AO166" s="63"/>
      <c r="AP166" s="109">
        <f>SUM(AP160:AP165)</f>
        <v>-81776</v>
      </c>
      <c r="AQ166" s="109">
        <f>SUM(AQ160:AQ165)</f>
        <v>12335</v>
      </c>
      <c r="AR166" s="63"/>
      <c r="AS166" s="63"/>
      <c r="AT166" s="63"/>
      <c r="AU166" s="63"/>
    </row>
    <row r="167" spans="1:47" ht="6" customHeight="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0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</row>
    <row r="168" spans="1:47" ht="12.75" customHeight="1">
      <c r="A168" s="93" t="s">
        <v>414</v>
      </c>
      <c r="B168" s="63"/>
      <c r="C168" s="63"/>
      <c r="D168" s="209">
        <f>D157+D166</f>
        <v>31364</v>
      </c>
      <c r="E168" s="209">
        <f t="shared" ref="E168:T168" si="158">E157+E166</f>
        <v>-29096</v>
      </c>
      <c r="F168" s="209">
        <f t="shared" si="158"/>
        <v>8294</v>
      </c>
      <c r="G168" s="209">
        <f t="shared" si="158"/>
        <v>47457</v>
      </c>
      <c r="H168" s="209">
        <f t="shared" si="158"/>
        <v>13345</v>
      </c>
      <c r="I168" s="209">
        <f t="shared" si="158"/>
        <v>-3733</v>
      </c>
      <c r="J168" s="209">
        <f t="shared" si="158"/>
        <v>11701</v>
      </c>
      <c r="K168" s="209">
        <f t="shared" si="158"/>
        <v>11449</v>
      </c>
      <c r="L168" s="209">
        <f t="shared" si="158"/>
        <v>-5400</v>
      </c>
      <c r="M168" s="209">
        <f t="shared" si="158"/>
        <v>-16600</v>
      </c>
      <c r="N168" s="209">
        <f t="shared" si="158"/>
        <v>-22000</v>
      </c>
      <c r="O168" s="209">
        <f t="shared" si="158"/>
        <v>-14300</v>
      </c>
      <c r="P168" s="209">
        <f t="shared" si="158"/>
        <v>32481</v>
      </c>
      <c r="Q168" s="209">
        <f t="shared" si="158"/>
        <v>79332</v>
      </c>
      <c r="R168" s="209">
        <f t="shared" si="158"/>
        <v>-46851</v>
      </c>
      <c r="S168" s="63"/>
      <c r="T168" s="209">
        <f t="shared" si="158"/>
        <v>38700</v>
      </c>
      <c r="U168" s="209">
        <f>U157+U166</f>
        <v>46900</v>
      </c>
      <c r="V168" s="209">
        <f>V157+V166</f>
        <v>-8200</v>
      </c>
      <c r="W168" s="63"/>
      <c r="X168" s="63"/>
      <c r="Y168" s="63"/>
      <c r="Z168" s="63"/>
      <c r="AA168" s="60" t="str">
        <f>A168</f>
        <v>NET CASH FLOW</v>
      </c>
      <c r="AB168" s="209">
        <f>AB157+AB166</f>
        <v>32481</v>
      </c>
      <c r="AC168" s="209">
        <f>AC157+AC166</f>
        <v>85381</v>
      </c>
      <c r="AD168" s="209">
        <f>AD157+AD166</f>
        <v>-52900</v>
      </c>
      <c r="AE168" s="63"/>
      <c r="AF168" s="209">
        <f t="shared" ref="AF168:AK168" si="159">AF157+AF166</f>
        <v>38700</v>
      </c>
      <c r="AG168" s="209">
        <f t="shared" si="159"/>
        <v>46900</v>
      </c>
      <c r="AH168" s="209">
        <f t="shared" si="159"/>
        <v>-8200</v>
      </c>
      <c r="AI168" s="63"/>
      <c r="AJ168" s="209">
        <f t="shared" si="159"/>
        <v>38481</v>
      </c>
      <c r="AK168" s="209">
        <f t="shared" si="159"/>
        <v>-6219</v>
      </c>
      <c r="AL168" s="63"/>
      <c r="AM168" s="111">
        <f>AM157+AM166</f>
        <v>19489</v>
      </c>
      <c r="AN168" s="111">
        <f>AN157+AN166</f>
        <v>12992</v>
      </c>
      <c r="AO168" s="63"/>
      <c r="AP168" s="111">
        <f>AP157+AP166</f>
        <v>67539</v>
      </c>
      <c r="AQ168" s="111">
        <f>AQ157+AQ166</f>
        <v>17842</v>
      </c>
      <c r="AR168" s="63"/>
      <c r="AS168" s="63"/>
      <c r="AT168" s="63"/>
      <c r="AU168" s="63"/>
    </row>
    <row r="169" spans="1:47" ht="6" customHeight="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0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</row>
    <row r="170" spans="1:47" ht="12.75" customHeight="1">
      <c r="A170" s="63" t="str">
        <f>A49</f>
        <v>OTHER ITEMS AFFECTING INTERCO. (CORP.) BALANCE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 t="str">
        <f>A170</f>
        <v>OTHER ITEMS AFFECTING INTERCO. (CORP.) BALANCE</v>
      </c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</row>
    <row r="171" spans="1:47" ht="12.75" customHeight="1">
      <c r="A171" s="63" t="str">
        <f>A50</f>
        <v xml:space="preserve">   Dividends Transferred to EPC </v>
      </c>
      <c r="B171" s="63"/>
      <c r="C171" s="63"/>
      <c r="D171" s="108">
        <f t="shared" ref="D171:R171" si="160">D50</f>
        <v>0</v>
      </c>
      <c r="E171" s="108">
        <f t="shared" si="160"/>
        <v>0</v>
      </c>
      <c r="F171" s="108">
        <f t="shared" si="160"/>
        <v>0</v>
      </c>
      <c r="G171" s="108">
        <f t="shared" si="160"/>
        <v>0</v>
      </c>
      <c r="H171" s="108">
        <f t="shared" si="160"/>
        <v>0</v>
      </c>
      <c r="I171" s="108">
        <f t="shared" si="160"/>
        <v>0</v>
      </c>
      <c r="J171" s="108">
        <f t="shared" si="160"/>
        <v>0</v>
      </c>
      <c r="K171" s="108">
        <f t="shared" si="160"/>
        <v>0</v>
      </c>
      <c r="L171" s="108">
        <f t="shared" si="160"/>
        <v>0</v>
      </c>
      <c r="M171" s="108">
        <f t="shared" si="160"/>
        <v>0</v>
      </c>
      <c r="N171" s="108">
        <f t="shared" si="160"/>
        <v>0</v>
      </c>
      <c r="O171" s="108">
        <f t="shared" si="160"/>
        <v>0</v>
      </c>
      <c r="P171" s="108">
        <f t="shared" si="160"/>
        <v>0</v>
      </c>
      <c r="Q171" s="108">
        <f t="shared" si="160"/>
        <v>0</v>
      </c>
      <c r="R171" s="108">
        <f t="shared" si="160"/>
        <v>0</v>
      </c>
      <c r="S171" s="63"/>
      <c r="T171" s="108">
        <f t="shared" ref="T171:V172" si="161">T50</f>
        <v>0</v>
      </c>
      <c r="U171" s="108">
        <f t="shared" si="161"/>
        <v>0</v>
      </c>
      <c r="V171" s="108">
        <f t="shared" si="161"/>
        <v>0</v>
      </c>
      <c r="W171" s="63"/>
      <c r="X171" s="63"/>
      <c r="Y171" s="63"/>
      <c r="Z171" s="63"/>
      <c r="AA171" s="63" t="str">
        <f>A171</f>
        <v xml:space="preserve">   Dividends Transferred to EPC </v>
      </c>
      <c r="AB171" s="108">
        <f>P171</f>
        <v>0</v>
      </c>
      <c r="AC171" s="108">
        <f>AC50</f>
        <v>0</v>
      </c>
      <c r="AD171" s="75">
        <f>AB171-AC171</f>
        <v>0</v>
      </c>
      <c r="AE171" s="63"/>
      <c r="AF171" s="75">
        <f>T171</f>
        <v>0</v>
      </c>
      <c r="AG171" s="108">
        <f>AG50</f>
        <v>0</v>
      </c>
      <c r="AH171" s="75">
        <f>AF171-AG171</f>
        <v>0</v>
      </c>
      <c r="AI171" s="63"/>
      <c r="AJ171" s="75">
        <f>AC171-AG171</f>
        <v>0</v>
      </c>
      <c r="AK171" s="75">
        <f>AB171-AF171</f>
        <v>0</v>
      </c>
      <c r="AL171" s="63"/>
      <c r="AM171" s="108">
        <f>AM50</f>
        <v>0</v>
      </c>
      <c r="AN171" s="75">
        <f>AB171-AM171</f>
        <v>0</v>
      </c>
      <c r="AO171" s="63"/>
      <c r="AP171" s="108">
        <f>AP50</f>
        <v>0</v>
      </c>
      <c r="AQ171" s="75">
        <f>AC171-AP171</f>
        <v>0</v>
      </c>
      <c r="AR171" s="63"/>
      <c r="AS171" s="63"/>
      <c r="AT171" s="63"/>
      <c r="AU171" s="63"/>
    </row>
    <row r="172" spans="1:47" ht="12.75" customHeight="1">
      <c r="A172" s="63" t="str">
        <f>A51</f>
        <v xml:space="preserve">   Inc. / (Dec.) in Long-Term Debt  (External)</v>
      </c>
      <c r="B172" s="63"/>
      <c r="C172" s="63"/>
      <c r="D172" s="108">
        <f t="shared" ref="D172:R172" si="162">D51</f>
        <v>0</v>
      </c>
      <c r="E172" s="108">
        <f t="shared" si="162"/>
        <v>0</v>
      </c>
      <c r="F172" s="108">
        <f t="shared" si="162"/>
        <v>0</v>
      </c>
      <c r="G172" s="108">
        <f t="shared" si="162"/>
        <v>0</v>
      </c>
      <c r="H172" s="108">
        <f t="shared" si="162"/>
        <v>0</v>
      </c>
      <c r="I172" s="108">
        <f t="shared" si="162"/>
        <v>0</v>
      </c>
      <c r="J172" s="108">
        <f t="shared" si="162"/>
        <v>0</v>
      </c>
      <c r="K172" s="108">
        <f t="shared" si="162"/>
        <v>0</v>
      </c>
      <c r="L172" s="108">
        <f t="shared" si="162"/>
        <v>0</v>
      </c>
      <c r="M172" s="108">
        <f t="shared" si="162"/>
        <v>0</v>
      </c>
      <c r="N172" s="108">
        <f t="shared" si="162"/>
        <v>0</v>
      </c>
      <c r="O172" s="108">
        <f t="shared" si="162"/>
        <v>0</v>
      </c>
      <c r="P172" s="108">
        <f t="shared" si="162"/>
        <v>0</v>
      </c>
      <c r="Q172" s="108">
        <f t="shared" si="162"/>
        <v>0</v>
      </c>
      <c r="R172" s="108">
        <f t="shared" si="162"/>
        <v>0</v>
      </c>
      <c r="S172" s="63"/>
      <c r="T172" s="108">
        <f t="shared" si="161"/>
        <v>0</v>
      </c>
      <c r="U172" s="108">
        <f t="shared" si="161"/>
        <v>0</v>
      </c>
      <c r="V172" s="108">
        <f t="shared" si="161"/>
        <v>0</v>
      </c>
      <c r="W172" s="63"/>
      <c r="X172" s="63"/>
      <c r="Y172" s="63"/>
      <c r="Z172" s="63"/>
      <c r="AA172" s="63" t="str">
        <f>A172</f>
        <v xml:space="preserve">   Inc. / (Dec.) in Long-Term Debt  (External)</v>
      </c>
      <c r="AB172" s="108">
        <f>P172</f>
        <v>0</v>
      </c>
      <c r="AC172" s="108">
        <f>AC51</f>
        <v>0</v>
      </c>
      <c r="AD172" s="75">
        <f>AB172-AC172</f>
        <v>0</v>
      </c>
      <c r="AE172" s="63"/>
      <c r="AF172" s="75">
        <f>T172</f>
        <v>0</v>
      </c>
      <c r="AG172" s="108">
        <f>AG51</f>
        <v>0</v>
      </c>
      <c r="AH172" s="75">
        <f>AF172-AG172</f>
        <v>0</v>
      </c>
      <c r="AI172" s="63"/>
      <c r="AJ172" s="75">
        <f>AC172-AG172</f>
        <v>0</v>
      </c>
      <c r="AK172" s="75">
        <f>AB172-AF172</f>
        <v>0</v>
      </c>
      <c r="AL172" s="63"/>
      <c r="AM172" s="108">
        <f>AM51</f>
        <v>0</v>
      </c>
      <c r="AN172" s="75">
        <f>AB172-AM172</f>
        <v>0</v>
      </c>
      <c r="AO172" s="63"/>
      <c r="AP172" s="108">
        <f>AP51</f>
        <v>0</v>
      </c>
      <c r="AQ172" s="75">
        <f>AC172-AP172</f>
        <v>0</v>
      </c>
      <c r="AR172" s="63"/>
      <c r="AS172" s="63"/>
      <c r="AT172" s="63"/>
      <c r="AU172" s="63"/>
    </row>
    <row r="173" spans="1:47" ht="12.75" customHeight="1">
      <c r="A173" s="63" t="str">
        <f>A52</f>
        <v xml:space="preserve">   Inc. / (Dec.) in Long-Term Debt Discount </v>
      </c>
      <c r="B173" s="63"/>
      <c r="C173" s="63"/>
      <c r="D173" s="143">
        <f>D52</f>
        <v>0</v>
      </c>
      <c r="E173" s="143">
        <f t="shared" ref="E173:R173" si="163">E52</f>
        <v>0</v>
      </c>
      <c r="F173" s="143">
        <f t="shared" si="163"/>
        <v>0</v>
      </c>
      <c r="G173" s="143">
        <f t="shared" si="163"/>
        <v>0</v>
      </c>
      <c r="H173" s="143">
        <f t="shared" si="163"/>
        <v>0</v>
      </c>
      <c r="I173" s="143">
        <f t="shared" si="163"/>
        <v>0</v>
      </c>
      <c r="J173" s="143">
        <f t="shared" si="163"/>
        <v>0</v>
      </c>
      <c r="K173" s="143">
        <f t="shared" si="163"/>
        <v>0</v>
      </c>
      <c r="L173" s="143">
        <f t="shared" si="163"/>
        <v>0</v>
      </c>
      <c r="M173" s="143">
        <f t="shared" si="163"/>
        <v>0</v>
      </c>
      <c r="N173" s="143">
        <f t="shared" si="163"/>
        <v>0</v>
      </c>
      <c r="O173" s="143">
        <f t="shared" si="163"/>
        <v>0</v>
      </c>
      <c r="P173" s="143">
        <f t="shared" si="163"/>
        <v>0</v>
      </c>
      <c r="Q173" s="143">
        <f t="shared" si="163"/>
        <v>0</v>
      </c>
      <c r="R173" s="143">
        <f t="shared" si="163"/>
        <v>0</v>
      </c>
      <c r="S173" s="63"/>
      <c r="T173" s="218">
        <f t="shared" ref="T173:V174" si="164">T52</f>
        <v>0</v>
      </c>
      <c r="U173" s="218">
        <f t="shared" si="164"/>
        <v>0</v>
      </c>
      <c r="V173" s="218">
        <f t="shared" si="164"/>
        <v>0</v>
      </c>
      <c r="W173" s="63"/>
      <c r="X173" s="63"/>
      <c r="Y173" s="63"/>
      <c r="Z173" s="63"/>
      <c r="AA173" s="63" t="str">
        <f>A173</f>
        <v xml:space="preserve">   Inc. / (Dec.) in Long-Term Debt Discount </v>
      </c>
      <c r="AB173" s="108">
        <f>P173</f>
        <v>0</v>
      </c>
      <c r="AC173" s="108">
        <f>AC52</f>
        <v>0</v>
      </c>
      <c r="AD173" s="75">
        <f>AB173-AC173</f>
        <v>0</v>
      </c>
      <c r="AE173" s="63"/>
      <c r="AF173" s="75">
        <f>T173</f>
        <v>0</v>
      </c>
      <c r="AG173" s="217">
        <f>AG52</f>
        <v>0</v>
      </c>
      <c r="AH173" s="75">
        <f>AF173-AG173</f>
        <v>0</v>
      </c>
      <c r="AI173" s="63"/>
      <c r="AJ173" s="75">
        <f>AC173-AG173</f>
        <v>0</v>
      </c>
      <c r="AK173" s="75">
        <f>AB173-AF173</f>
        <v>0</v>
      </c>
      <c r="AL173" s="63"/>
      <c r="AM173" s="108">
        <f>AM52</f>
        <v>0</v>
      </c>
      <c r="AN173" s="75">
        <f>AB173-AM173</f>
        <v>0</v>
      </c>
      <c r="AO173" s="63"/>
      <c r="AP173" s="108">
        <f>AP52</f>
        <v>0</v>
      </c>
      <c r="AQ173" s="75">
        <f>AC173-AP173</f>
        <v>0</v>
      </c>
      <c r="AR173" s="63"/>
      <c r="AS173" s="63"/>
      <c r="AT173" s="63"/>
      <c r="AU173" s="63"/>
    </row>
    <row r="174" spans="1:47" ht="12.75" customHeight="1">
      <c r="A174" s="63" t="str">
        <f>A53</f>
        <v xml:space="preserve">   Contribution from Parent </v>
      </c>
      <c r="B174" s="63"/>
      <c r="C174" s="63"/>
      <c r="D174" s="109">
        <f t="shared" ref="D174:R174" si="165">D53</f>
        <v>0</v>
      </c>
      <c r="E174" s="109">
        <f t="shared" si="165"/>
        <v>0</v>
      </c>
      <c r="F174" s="109">
        <f t="shared" si="165"/>
        <v>0</v>
      </c>
      <c r="G174" s="109">
        <f t="shared" si="165"/>
        <v>0</v>
      </c>
      <c r="H174" s="109">
        <f t="shared" si="165"/>
        <v>0</v>
      </c>
      <c r="I174" s="109">
        <f t="shared" si="165"/>
        <v>0</v>
      </c>
      <c r="J174" s="109">
        <f t="shared" si="165"/>
        <v>0</v>
      </c>
      <c r="K174" s="109">
        <f t="shared" si="165"/>
        <v>0</v>
      </c>
      <c r="L174" s="109">
        <f t="shared" si="165"/>
        <v>0</v>
      </c>
      <c r="M174" s="109">
        <f t="shared" si="165"/>
        <v>0</v>
      </c>
      <c r="N174" s="109">
        <f t="shared" si="165"/>
        <v>0</v>
      </c>
      <c r="O174" s="109">
        <f t="shared" si="165"/>
        <v>0</v>
      </c>
      <c r="P174" s="109">
        <f t="shared" si="165"/>
        <v>0</v>
      </c>
      <c r="Q174" s="109">
        <f t="shared" si="165"/>
        <v>0</v>
      </c>
      <c r="R174" s="109">
        <f t="shared" si="165"/>
        <v>0</v>
      </c>
      <c r="S174" s="63"/>
      <c r="T174" s="109">
        <f t="shared" si="164"/>
        <v>0</v>
      </c>
      <c r="U174" s="109">
        <f t="shared" si="164"/>
        <v>0</v>
      </c>
      <c r="V174" s="109">
        <f t="shared" si="164"/>
        <v>0</v>
      </c>
      <c r="W174" s="63"/>
      <c r="X174" s="63"/>
      <c r="Y174" s="63"/>
      <c r="Z174" s="63"/>
      <c r="AA174" s="63" t="str">
        <f>A174</f>
        <v xml:space="preserve">   Contribution from Parent </v>
      </c>
      <c r="AB174" s="109">
        <f>P174</f>
        <v>0</v>
      </c>
      <c r="AC174" s="109">
        <f>AC53</f>
        <v>0</v>
      </c>
      <c r="AD174" s="80">
        <f>AB174-AC174</f>
        <v>0</v>
      </c>
      <c r="AE174" s="81"/>
      <c r="AF174" s="80">
        <f>T174</f>
        <v>0</v>
      </c>
      <c r="AG174" s="109">
        <f>AG53</f>
        <v>0</v>
      </c>
      <c r="AH174" s="80">
        <f>AF174-AG174</f>
        <v>0</v>
      </c>
      <c r="AI174" s="63"/>
      <c r="AJ174" s="80">
        <f>AC174-AG174</f>
        <v>0</v>
      </c>
      <c r="AK174" s="80">
        <f>AB174-AF174</f>
        <v>0</v>
      </c>
      <c r="AL174" s="63"/>
      <c r="AM174" s="109">
        <f>AM53</f>
        <v>0</v>
      </c>
      <c r="AN174" s="80">
        <f>AB174-AM174</f>
        <v>0</v>
      </c>
      <c r="AO174" s="63"/>
      <c r="AP174" s="109">
        <f>AP53</f>
        <v>0</v>
      </c>
      <c r="AQ174" s="80">
        <f>AC174-AP174</f>
        <v>0</v>
      </c>
      <c r="AR174" s="63"/>
      <c r="AS174" s="63"/>
      <c r="AT174" s="63"/>
      <c r="AU174" s="63"/>
    </row>
    <row r="175" spans="1:47" ht="3.95" customHeight="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0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</row>
    <row r="176" spans="1:47" ht="12.75" customHeight="1">
      <c r="A176" s="63" t="str">
        <f>A55</f>
        <v xml:space="preserve">      Total Items Affecting Intercompany (Corp.) Balance</v>
      </c>
      <c r="B176" s="63"/>
      <c r="C176" s="63"/>
      <c r="D176" s="109">
        <f>SUM(D171:D175)</f>
        <v>0</v>
      </c>
      <c r="E176" s="109">
        <f t="shared" ref="E176:T176" si="166">SUM(E171:E175)</f>
        <v>0</v>
      </c>
      <c r="F176" s="109">
        <f t="shared" si="166"/>
        <v>0</v>
      </c>
      <c r="G176" s="109">
        <f t="shared" si="166"/>
        <v>0</v>
      </c>
      <c r="H176" s="109">
        <f t="shared" si="166"/>
        <v>0</v>
      </c>
      <c r="I176" s="109">
        <f t="shared" si="166"/>
        <v>0</v>
      </c>
      <c r="J176" s="109">
        <f t="shared" si="166"/>
        <v>0</v>
      </c>
      <c r="K176" s="109">
        <f t="shared" si="166"/>
        <v>0</v>
      </c>
      <c r="L176" s="109">
        <f t="shared" si="166"/>
        <v>0</v>
      </c>
      <c r="M176" s="109">
        <f t="shared" si="166"/>
        <v>0</v>
      </c>
      <c r="N176" s="109">
        <f t="shared" si="166"/>
        <v>0</v>
      </c>
      <c r="O176" s="109">
        <f t="shared" si="166"/>
        <v>0</v>
      </c>
      <c r="P176" s="109">
        <f t="shared" si="166"/>
        <v>0</v>
      </c>
      <c r="Q176" s="109">
        <f t="shared" si="166"/>
        <v>0</v>
      </c>
      <c r="R176" s="109">
        <f t="shared" si="166"/>
        <v>0</v>
      </c>
      <c r="S176" s="63"/>
      <c r="T176" s="109">
        <f t="shared" si="166"/>
        <v>0</v>
      </c>
      <c r="U176" s="109">
        <f>SUM(U171:U175)</f>
        <v>0</v>
      </c>
      <c r="V176" s="109">
        <f>SUM(V171:V175)</f>
        <v>0</v>
      </c>
      <c r="W176" s="63"/>
      <c r="X176" s="63"/>
      <c r="Y176" s="63"/>
      <c r="Z176" s="63"/>
      <c r="AA176" s="63" t="str">
        <f>A176</f>
        <v xml:space="preserve">      Total Items Affecting Intercompany (Corp.) Balance</v>
      </c>
      <c r="AB176" s="109">
        <f>SUM(AB171:AB175)</f>
        <v>0</v>
      </c>
      <c r="AC176" s="109">
        <f>SUM(AC171:AC175)</f>
        <v>0</v>
      </c>
      <c r="AD176" s="109">
        <f>SUM(AD171:AD175)</f>
        <v>0</v>
      </c>
      <c r="AE176" s="63"/>
      <c r="AF176" s="109">
        <f t="shared" ref="AF176:AK176" si="167">SUM(AF171:AF175)</f>
        <v>0</v>
      </c>
      <c r="AG176" s="109">
        <f t="shared" si="167"/>
        <v>0</v>
      </c>
      <c r="AH176" s="109">
        <f t="shared" si="167"/>
        <v>0</v>
      </c>
      <c r="AI176" s="63"/>
      <c r="AJ176" s="109">
        <f t="shared" si="167"/>
        <v>0</v>
      </c>
      <c r="AK176" s="109">
        <f t="shared" si="167"/>
        <v>0</v>
      </c>
      <c r="AL176" s="63"/>
      <c r="AM176" s="109">
        <f>SUM(AM171:AM175)</f>
        <v>0</v>
      </c>
      <c r="AN176" s="109">
        <f>SUM(AN171:AN175)</f>
        <v>0</v>
      </c>
      <c r="AO176" s="63"/>
      <c r="AP176" s="109">
        <f>SUM(AP171:AP175)</f>
        <v>0</v>
      </c>
      <c r="AQ176" s="109">
        <f>SUM(AQ171:AQ175)</f>
        <v>0</v>
      </c>
      <c r="AR176" s="63"/>
      <c r="AS176" s="63"/>
      <c r="AT176" s="63"/>
      <c r="AU176" s="63"/>
    </row>
    <row r="177" spans="1:47" ht="6" customHeight="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0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</row>
    <row r="178" spans="1:47" ht="12.75" customHeight="1">
      <c r="A178" s="60" t="str">
        <f>A57</f>
        <v>INCREASE / (DECREASE) IN INTERCOMPANY CASH</v>
      </c>
      <c r="B178" s="63"/>
      <c r="C178" s="63"/>
      <c r="D178" s="108">
        <f>D168+D176</f>
        <v>31364</v>
      </c>
      <c r="E178" s="108">
        <f t="shared" ref="E178:T178" si="168">E168+E176</f>
        <v>-29096</v>
      </c>
      <c r="F178" s="108">
        <f t="shared" si="168"/>
        <v>8294</v>
      </c>
      <c r="G178" s="108">
        <f t="shared" si="168"/>
        <v>47457</v>
      </c>
      <c r="H178" s="108">
        <f t="shared" si="168"/>
        <v>13345</v>
      </c>
      <c r="I178" s="108">
        <f t="shared" si="168"/>
        <v>-3733</v>
      </c>
      <c r="J178" s="108">
        <f t="shared" si="168"/>
        <v>11701</v>
      </c>
      <c r="K178" s="108">
        <f t="shared" si="168"/>
        <v>11449</v>
      </c>
      <c r="L178" s="108">
        <f t="shared" si="168"/>
        <v>-5400</v>
      </c>
      <c r="M178" s="108">
        <f t="shared" si="168"/>
        <v>-16600</v>
      </c>
      <c r="N178" s="108">
        <f t="shared" si="168"/>
        <v>-22000</v>
      </c>
      <c r="O178" s="108">
        <f t="shared" si="168"/>
        <v>-14300</v>
      </c>
      <c r="P178" s="108">
        <f t="shared" si="168"/>
        <v>32481</v>
      </c>
      <c r="Q178" s="108">
        <f t="shared" si="168"/>
        <v>79332</v>
      </c>
      <c r="R178" s="108">
        <f t="shared" si="168"/>
        <v>-46851</v>
      </c>
      <c r="S178" s="63"/>
      <c r="T178" s="108">
        <f t="shared" si="168"/>
        <v>38700</v>
      </c>
      <c r="U178" s="108">
        <f>U168+U176</f>
        <v>46900</v>
      </c>
      <c r="V178" s="108">
        <f>V168+V176</f>
        <v>-8200</v>
      </c>
      <c r="W178" s="63"/>
      <c r="X178" s="63"/>
      <c r="Y178" s="63"/>
      <c r="Z178" s="63"/>
      <c r="AA178" s="60" t="str">
        <f>A178</f>
        <v>INCREASE / (DECREASE) IN INTERCOMPANY CASH</v>
      </c>
      <c r="AB178" s="108">
        <f>AB168+AB176</f>
        <v>32481</v>
      </c>
      <c r="AC178" s="108">
        <f>AC168+AC176</f>
        <v>85381</v>
      </c>
      <c r="AD178" s="108">
        <f>AD168+AD176</f>
        <v>-52900</v>
      </c>
      <c r="AE178" s="63"/>
      <c r="AF178" s="108">
        <f t="shared" ref="AF178:AK178" si="169">AF168+AF176</f>
        <v>38700</v>
      </c>
      <c r="AG178" s="108">
        <f t="shared" si="169"/>
        <v>46900</v>
      </c>
      <c r="AH178" s="108">
        <f t="shared" si="169"/>
        <v>-8200</v>
      </c>
      <c r="AI178" s="63"/>
      <c r="AJ178" s="108">
        <f t="shared" si="169"/>
        <v>38481</v>
      </c>
      <c r="AK178" s="108">
        <f t="shared" si="169"/>
        <v>-6219</v>
      </c>
      <c r="AL178" s="63"/>
      <c r="AM178" s="108">
        <f>AM168+AM176</f>
        <v>19489</v>
      </c>
      <c r="AN178" s="108">
        <f>AN168+AN176</f>
        <v>12992</v>
      </c>
      <c r="AO178" s="63"/>
      <c r="AP178" s="108">
        <f>AP168+AP176</f>
        <v>67539</v>
      </c>
      <c r="AQ178" s="108">
        <f>AQ168+AQ176</f>
        <v>17842</v>
      </c>
      <c r="AR178" s="63"/>
      <c r="AS178" s="63"/>
      <c r="AT178" s="63"/>
      <c r="AU178" s="63"/>
    </row>
    <row r="179" spans="1:47" ht="6" customHeight="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0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</row>
    <row r="180" spans="1:47" ht="12.75" customHeight="1">
      <c r="A180" s="60" t="str">
        <f>A59</f>
        <v xml:space="preserve">      Change in Other Obligations</v>
      </c>
      <c r="B180" s="63"/>
      <c r="C180" s="63"/>
      <c r="D180" s="109">
        <f t="shared" ref="D180:R180" si="170">D59</f>
        <v>-6</v>
      </c>
      <c r="E180" s="109">
        <f t="shared" si="170"/>
        <v>-6</v>
      </c>
      <c r="F180" s="109">
        <f t="shared" si="170"/>
        <v>-7</v>
      </c>
      <c r="G180" s="109">
        <f t="shared" si="170"/>
        <v>-6</v>
      </c>
      <c r="H180" s="109">
        <f t="shared" si="170"/>
        <v>-7</v>
      </c>
      <c r="I180" s="109">
        <f t="shared" si="170"/>
        <v>-6</v>
      </c>
      <c r="J180" s="109">
        <f t="shared" si="170"/>
        <v>-7</v>
      </c>
      <c r="K180" s="109">
        <f t="shared" si="170"/>
        <v>-6</v>
      </c>
      <c r="L180" s="109">
        <f t="shared" si="170"/>
        <v>-7</v>
      </c>
      <c r="M180" s="109">
        <f t="shared" si="170"/>
        <v>-6</v>
      </c>
      <c r="N180" s="109">
        <f t="shared" si="170"/>
        <v>-7</v>
      </c>
      <c r="O180" s="109">
        <f t="shared" si="170"/>
        <v>-6</v>
      </c>
      <c r="P180" s="109">
        <f t="shared" si="170"/>
        <v>-77</v>
      </c>
      <c r="Q180" s="109">
        <f t="shared" si="170"/>
        <v>-45</v>
      </c>
      <c r="R180" s="109">
        <f t="shared" si="170"/>
        <v>-32</v>
      </c>
      <c r="S180" s="63"/>
      <c r="T180" s="109">
        <f>T59</f>
        <v>-77</v>
      </c>
      <c r="U180" s="109">
        <f>U59</f>
        <v>-58</v>
      </c>
      <c r="V180" s="109">
        <f>V59</f>
        <v>-19</v>
      </c>
      <c r="W180" s="63"/>
      <c r="X180" s="63"/>
      <c r="Y180" s="63"/>
      <c r="Z180" s="63"/>
      <c r="AA180" s="60" t="str">
        <f>A180</f>
        <v xml:space="preserve">      Change in Other Obligations</v>
      </c>
      <c r="AB180" s="109">
        <f>AB59</f>
        <v>-77</v>
      </c>
      <c r="AC180" s="109">
        <f>AC59</f>
        <v>-58</v>
      </c>
      <c r="AD180" s="80">
        <f>AB180-AC180</f>
        <v>-19</v>
      </c>
      <c r="AE180" s="63"/>
      <c r="AF180" s="109">
        <f>AF59</f>
        <v>-77</v>
      </c>
      <c r="AG180" s="109">
        <f>AG59</f>
        <v>-58</v>
      </c>
      <c r="AH180" s="109">
        <f>AH59</f>
        <v>-19</v>
      </c>
      <c r="AI180" s="63"/>
      <c r="AJ180" s="80">
        <f>AC180-AG180</f>
        <v>0</v>
      </c>
      <c r="AK180" s="80">
        <f>AB180-AF180</f>
        <v>0</v>
      </c>
      <c r="AL180" s="63"/>
      <c r="AM180" s="109">
        <f>AM59</f>
        <v>-77</v>
      </c>
      <c r="AN180" s="80">
        <f>AB180-AM180</f>
        <v>0</v>
      </c>
      <c r="AO180" s="63"/>
      <c r="AP180" s="109">
        <f>AP59</f>
        <v>-58</v>
      </c>
      <c r="AQ180" s="80">
        <f>AC180-AP180</f>
        <v>0</v>
      </c>
      <c r="AR180" s="63"/>
      <c r="AS180" s="63"/>
      <c r="AT180" s="63"/>
      <c r="AU180" s="63"/>
    </row>
    <row r="181" spans="1:47" ht="6" customHeight="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0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</row>
    <row r="182" spans="1:47" ht="12.75" customHeight="1">
      <c r="A182" s="60" t="str">
        <f>A61</f>
        <v>INCREASE / (DECREASE) IN TOTAL OBLIGATIONS</v>
      </c>
      <c r="B182" s="63"/>
      <c r="C182" s="63"/>
      <c r="D182" s="113">
        <f>D178+D180</f>
        <v>31358</v>
      </c>
      <c r="E182" s="113">
        <f t="shared" ref="E182:T182" si="171">E178+E180</f>
        <v>-29102</v>
      </c>
      <c r="F182" s="113">
        <f t="shared" si="171"/>
        <v>8287</v>
      </c>
      <c r="G182" s="113">
        <f t="shared" si="171"/>
        <v>47451</v>
      </c>
      <c r="H182" s="113">
        <f t="shared" si="171"/>
        <v>13338</v>
      </c>
      <c r="I182" s="113">
        <f t="shared" si="171"/>
        <v>-3739</v>
      </c>
      <c r="J182" s="113">
        <f t="shared" si="171"/>
        <v>11694</v>
      </c>
      <c r="K182" s="113">
        <f t="shared" si="171"/>
        <v>11443</v>
      </c>
      <c r="L182" s="113">
        <f t="shared" si="171"/>
        <v>-5407</v>
      </c>
      <c r="M182" s="113">
        <f t="shared" si="171"/>
        <v>-16606</v>
      </c>
      <c r="N182" s="113">
        <f t="shared" si="171"/>
        <v>-22007</v>
      </c>
      <c r="O182" s="113">
        <f t="shared" si="171"/>
        <v>-14306</v>
      </c>
      <c r="P182" s="113">
        <f t="shared" si="171"/>
        <v>32404</v>
      </c>
      <c r="Q182" s="113">
        <f t="shared" si="171"/>
        <v>79287</v>
      </c>
      <c r="R182" s="113">
        <f t="shared" si="171"/>
        <v>-46883</v>
      </c>
      <c r="S182" s="63"/>
      <c r="T182" s="113">
        <f t="shared" si="171"/>
        <v>38623</v>
      </c>
      <c r="U182" s="113">
        <f>U178+U180</f>
        <v>46842</v>
      </c>
      <c r="V182" s="113">
        <f>V178+V180</f>
        <v>-8219</v>
      </c>
      <c r="W182" s="63"/>
      <c r="X182" s="63"/>
      <c r="Y182" s="63"/>
      <c r="Z182" s="63"/>
      <c r="AA182" s="60" t="str">
        <f>A182</f>
        <v>INCREASE / (DECREASE) IN TOTAL OBLIGATIONS</v>
      </c>
      <c r="AB182" s="113">
        <f>AB178+AB180</f>
        <v>32404</v>
      </c>
      <c r="AC182" s="113">
        <f>AC178+AC180</f>
        <v>85323</v>
      </c>
      <c r="AD182" s="113">
        <f>AD178+AD180</f>
        <v>-52919</v>
      </c>
      <c r="AE182" s="63"/>
      <c r="AF182" s="113">
        <f t="shared" ref="AF182:AK182" si="172">AF178+AF180</f>
        <v>38623</v>
      </c>
      <c r="AG182" s="113">
        <f t="shared" si="172"/>
        <v>46842</v>
      </c>
      <c r="AH182" s="113">
        <f t="shared" si="172"/>
        <v>-8219</v>
      </c>
      <c r="AI182" s="63"/>
      <c r="AJ182" s="113">
        <f t="shared" si="172"/>
        <v>38481</v>
      </c>
      <c r="AK182" s="113">
        <f t="shared" si="172"/>
        <v>-6219</v>
      </c>
      <c r="AL182" s="63"/>
      <c r="AM182" s="113">
        <f>AM178+AM180</f>
        <v>19412</v>
      </c>
      <c r="AN182" s="113">
        <f>AN178+AN180</f>
        <v>12992</v>
      </c>
      <c r="AO182" s="63"/>
      <c r="AP182" s="113">
        <f>AP178+AP180</f>
        <v>67481</v>
      </c>
      <c r="AQ182" s="113">
        <f>AQ178+AQ180</f>
        <v>17842</v>
      </c>
      <c r="AR182" s="63"/>
      <c r="AS182" s="63"/>
      <c r="AT182" s="63"/>
      <c r="AU182" s="63"/>
    </row>
    <row r="183" spans="1:47" ht="12.75" customHeight="1">
      <c r="A183" s="60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0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</row>
    <row r="184" spans="1:47" ht="12.75" customHeight="1">
      <c r="A184" s="63" t="str">
        <f>A109</f>
        <v xml:space="preserve">      CHECK #</v>
      </c>
      <c r="B184" s="63"/>
      <c r="C184" s="63"/>
      <c r="D184" s="108">
        <f t="shared" ref="D184:R184" si="173">D61-D182</f>
        <v>0</v>
      </c>
      <c r="E184" s="108">
        <f t="shared" si="173"/>
        <v>0</v>
      </c>
      <c r="F184" s="108">
        <f t="shared" si="173"/>
        <v>0</v>
      </c>
      <c r="G184" s="108">
        <f t="shared" si="173"/>
        <v>0</v>
      </c>
      <c r="H184" s="108">
        <f t="shared" si="173"/>
        <v>0</v>
      </c>
      <c r="I184" s="108">
        <f t="shared" si="173"/>
        <v>0</v>
      </c>
      <c r="J184" s="108">
        <f t="shared" si="173"/>
        <v>0</v>
      </c>
      <c r="K184" s="108">
        <f t="shared" si="173"/>
        <v>0</v>
      </c>
      <c r="L184" s="108">
        <f t="shared" si="173"/>
        <v>0</v>
      </c>
      <c r="M184" s="108">
        <f t="shared" si="173"/>
        <v>0</v>
      </c>
      <c r="N184" s="108">
        <f t="shared" si="173"/>
        <v>0</v>
      </c>
      <c r="O184" s="108">
        <f t="shared" si="173"/>
        <v>0</v>
      </c>
      <c r="P184" s="108">
        <f t="shared" si="173"/>
        <v>0</v>
      </c>
      <c r="Q184" s="108">
        <f t="shared" si="173"/>
        <v>0</v>
      </c>
      <c r="R184" s="108">
        <f t="shared" si="173"/>
        <v>0</v>
      </c>
      <c r="S184" s="108"/>
      <c r="T184" s="108">
        <f>T61-T182</f>
        <v>0</v>
      </c>
      <c r="U184" s="108">
        <f>U61-U182</f>
        <v>0</v>
      </c>
      <c r="V184" s="108">
        <f>V61-V182</f>
        <v>0</v>
      </c>
      <c r="W184" s="63"/>
      <c r="X184" s="63"/>
      <c r="Y184" s="63"/>
      <c r="Z184" s="63"/>
      <c r="AA184" s="63" t="str">
        <f>A184</f>
        <v xml:space="preserve">      CHECK #</v>
      </c>
      <c r="AB184" s="108">
        <f>AB61-AB182</f>
        <v>0</v>
      </c>
      <c r="AC184" s="108">
        <f>AC61-AC182</f>
        <v>0</v>
      </c>
      <c r="AD184" s="108">
        <f>AD61-AD182</f>
        <v>0</v>
      </c>
      <c r="AE184" s="108"/>
      <c r="AF184" s="108">
        <f>AF61-AF182</f>
        <v>0</v>
      </c>
      <c r="AG184" s="108">
        <f>AG61-AG182</f>
        <v>0</v>
      </c>
      <c r="AH184" s="108">
        <f>AH61-AH182</f>
        <v>0</v>
      </c>
      <c r="AI184" s="108"/>
      <c r="AJ184" s="108">
        <f>AJ61-AJ182</f>
        <v>0</v>
      </c>
      <c r="AK184" s="108">
        <f>AK61-AK182</f>
        <v>0</v>
      </c>
      <c r="AL184" s="108"/>
      <c r="AM184" s="108">
        <f>AM61-AM182</f>
        <v>0</v>
      </c>
      <c r="AN184" s="108">
        <f>AN61-AN182</f>
        <v>0</v>
      </c>
      <c r="AO184" s="108"/>
      <c r="AP184" s="108">
        <f>AP61-AP182</f>
        <v>0</v>
      </c>
      <c r="AQ184" s="108">
        <f>AQ61-AQ182</f>
        <v>0</v>
      </c>
      <c r="AR184" s="63"/>
      <c r="AS184" s="63"/>
      <c r="AT184" s="63"/>
      <c r="AU184" s="63"/>
    </row>
    <row r="185" spans="1:47" ht="6" customHeight="1">
      <c r="A185" s="60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0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</row>
    <row r="186" spans="1:47" ht="12.75" customHeight="1">
      <c r="A186" s="60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0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</row>
    <row r="187" spans="1:47" ht="12.75" customHeight="1">
      <c r="A187" s="120" t="str">
        <f ca="1">A1</f>
        <v>C:\Users\Felienne\Enron\EnronSpreadsheets\[tracy_geaccone__40393__NNG3rdCECF.xls]BACKUP</v>
      </c>
      <c r="B187" s="84"/>
      <c r="C187" s="84"/>
      <c r="D187" s="84"/>
      <c r="E187" s="84"/>
      <c r="F187" s="84"/>
      <c r="G187" s="84"/>
      <c r="H187" s="84"/>
      <c r="I187" s="102" t="str">
        <f>I1</f>
        <v>NORTHERN NATURAL GAS GROUP</v>
      </c>
      <c r="J187" s="161"/>
      <c r="K187" s="161"/>
      <c r="L187" s="161"/>
      <c r="M187" s="84"/>
      <c r="N187" s="84"/>
      <c r="O187" s="84"/>
      <c r="P187" s="84"/>
      <c r="Q187" s="84"/>
      <c r="R187" s="84"/>
      <c r="S187" s="84"/>
      <c r="T187" s="84"/>
      <c r="U187" s="84"/>
      <c r="V187" s="62">
        <f ca="1">NOW()</f>
        <v>41887.551206018521</v>
      </c>
      <c r="W187" s="63"/>
      <c r="X187" s="63"/>
      <c r="Y187" s="63"/>
      <c r="Z187" s="63"/>
      <c r="AA187" s="64" t="str">
        <f ca="1">A1</f>
        <v>C:\Users\Felienne\Enron\EnronSpreadsheets\[tracy_geaccone__40393__NNG3rdCECF.xls]BACKUP</v>
      </c>
      <c r="AB187" s="63"/>
      <c r="AC187" s="63"/>
      <c r="AD187" s="102" t="str">
        <f>I1</f>
        <v>NORTHERN NATURAL GAS GROUP</v>
      </c>
      <c r="AE187" s="161"/>
      <c r="AF187" s="161"/>
      <c r="AG187" s="161"/>
      <c r="AH187" s="63"/>
      <c r="AI187" s="63"/>
      <c r="AJ187" s="63"/>
      <c r="AK187" s="63"/>
      <c r="AL187" s="63"/>
      <c r="AM187" s="63"/>
      <c r="AN187" s="63"/>
      <c r="AO187" s="63"/>
      <c r="AP187" s="63"/>
      <c r="AQ187" s="62">
        <f ca="1">NOW()</f>
        <v>41887.551206018521</v>
      </c>
      <c r="AR187" s="63"/>
      <c r="AS187" s="63"/>
      <c r="AT187" s="63"/>
      <c r="AU187" s="63"/>
    </row>
    <row r="188" spans="1:47" ht="12.75" customHeight="1">
      <c r="A188" s="59" t="s">
        <v>415</v>
      </c>
      <c r="B188" s="84"/>
      <c r="C188" s="84"/>
      <c r="D188" s="84"/>
      <c r="E188" s="84"/>
      <c r="F188" s="84"/>
      <c r="G188" s="84"/>
      <c r="H188" s="84"/>
      <c r="I188" s="169" t="s">
        <v>416</v>
      </c>
      <c r="J188" s="161"/>
      <c r="K188" s="161"/>
      <c r="L188" s="161"/>
      <c r="M188" s="84"/>
      <c r="N188" s="84"/>
      <c r="O188" s="84"/>
      <c r="P188" s="84"/>
      <c r="Q188" s="84"/>
      <c r="R188" s="84"/>
      <c r="S188" s="84"/>
      <c r="T188" s="84"/>
      <c r="U188" s="84"/>
      <c r="V188" s="67">
        <f ca="1">NOW()</f>
        <v>41887.551206018521</v>
      </c>
      <c r="W188" s="63"/>
      <c r="X188" s="63"/>
      <c r="Y188" s="63"/>
      <c r="Z188" s="63"/>
      <c r="AA188" s="59" t="s">
        <v>417</v>
      </c>
      <c r="AB188" s="63"/>
      <c r="AC188" s="63"/>
      <c r="AD188" s="102" t="str">
        <f>I188</f>
        <v>FUNDS FLOW STATEMENT - "OTHER"</v>
      </c>
      <c r="AE188" s="161"/>
      <c r="AF188" s="161"/>
      <c r="AG188" s="161"/>
      <c r="AH188" s="63"/>
      <c r="AI188" s="63"/>
      <c r="AJ188" s="63"/>
      <c r="AK188" s="63"/>
      <c r="AL188" s="63"/>
      <c r="AM188" s="63"/>
      <c r="AN188" s="63"/>
      <c r="AO188" s="63"/>
      <c r="AP188" s="63"/>
      <c r="AQ188" s="67">
        <f ca="1">NOW()</f>
        <v>41887.551206018521</v>
      </c>
      <c r="AR188" s="63"/>
      <c r="AS188" s="63"/>
      <c r="AT188" s="63"/>
      <c r="AU188" s="63"/>
    </row>
    <row r="189" spans="1:47" ht="12.75" customHeight="1">
      <c r="A189" s="84"/>
      <c r="B189" s="84"/>
      <c r="C189" s="84"/>
      <c r="D189" s="84"/>
      <c r="E189" s="84"/>
      <c r="F189" s="84"/>
      <c r="G189" s="84"/>
      <c r="H189" s="84"/>
      <c r="I189" s="102" t="str">
        <f>I3</f>
        <v>2001 ACTUAL / ESTIMATE</v>
      </c>
      <c r="J189" s="161"/>
      <c r="K189" s="161"/>
      <c r="L189" s="161"/>
      <c r="M189" s="84"/>
      <c r="N189" s="84"/>
      <c r="O189" s="84"/>
      <c r="P189" s="84"/>
      <c r="Q189" s="84"/>
      <c r="R189" s="84"/>
      <c r="S189" s="84"/>
      <c r="T189" s="84"/>
      <c r="U189" s="84"/>
      <c r="V189" s="63"/>
      <c r="W189" s="63"/>
      <c r="X189" s="63"/>
      <c r="Y189" s="63"/>
      <c r="Z189" s="63"/>
      <c r="AA189" s="60"/>
      <c r="AB189" s="63"/>
      <c r="AC189" s="63"/>
      <c r="AD189" s="102" t="str">
        <f>I3</f>
        <v>2001 ACTUAL / ESTIMATE</v>
      </c>
      <c r="AE189" s="161"/>
      <c r="AF189" s="161"/>
      <c r="AG189" s="161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</row>
    <row r="190" spans="1:47" ht="12.75" customHeight="1">
      <c r="A190" s="84"/>
      <c r="B190" s="84"/>
      <c r="C190" s="84"/>
      <c r="D190" s="84"/>
      <c r="E190" s="84"/>
      <c r="F190" s="84"/>
      <c r="G190" s="84"/>
      <c r="H190" s="84"/>
      <c r="I190" s="102" t="str">
        <f>I4</f>
        <v>(Thousands of Dollars)</v>
      </c>
      <c r="J190" s="161"/>
      <c r="K190" s="161"/>
      <c r="L190" s="161"/>
      <c r="M190" s="84"/>
      <c r="N190" s="84"/>
      <c r="O190" s="84"/>
      <c r="P190" s="84"/>
      <c r="Q190" s="84"/>
      <c r="R190" s="84"/>
      <c r="S190" s="84"/>
      <c r="T190" s="84"/>
      <c r="U190" s="84"/>
      <c r="V190" s="63"/>
      <c r="W190" s="63"/>
      <c r="X190" s="63"/>
      <c r="Y190" s="63"/>
      <c r="Z190" s="63"/>
      <c r="AA190" s="60"/>
      <c r="AB190" s="63"/>
      <c r="AC190" s="63"/>
      <c r="AD190" s="102" t="str">
        <f>I4</f>
        <v>(Thousands of Dollars)</v>
      </c>
      <c r="AE190" s="161"/>
      <c r="AF190" s="161"/>
      <c r="AG190" s="161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</row>
    <row r="191" spans="1:47" ht="12.75" customHeight="1">
      <c r="A191" s="121"/>
      <c r="B191" s="121"/>
      <c r="C191" s="121"/>
      <c r="D191" s="71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71">
        <f>T5</f>
        <v>0</v>
      </c>
      <c r="U191" s="84"/>
      <c r="V191" s="71">
        <f>V5</f>
        <v>0</v>
      </c>
      <c r="W191" s="63"/>
      <c r="X191" s="63"/>
      <c r="Y191" s="63"/>
      <c r="Z191" s="63"/>
      <c r="AA191" s="60"/>
      <c r="AB191" s="63"/>
      <c r="AC191" s="63"/>
      <c r="AD191" s="63"/>
      <c r="AE191" s="63"/>
      <c r="AF191" s="71">
        <f>AF5</f>
        <v>0</v>
      </c>
      <c r="AG191" s="63"/>
      <c r="AH191" s="71">
        <f>AH5</f>
        <v>0</v>
      </c>
      <c r="AI191" s="63"/>
      <c r="AJ191" s="63"/>
      <c r="AK191" s="71">
        <f>AK5</f>
        <v>0</v>
      </c>
      <c r="AL191" s="63"/>
      <c r="AM191" s="63"/>
      <c r="AN191" s="63"/>
      <c r="AO191" s="63"/>
      <c r="AP191" s="205"/>
      <c r="AQ191" s="161"/>
      <c r="AR191" s="63"/>
      <c r="AS191" s="63"/>
      <c r="AT191" s="63"/>
      <c r="AU191" s="63"/>
    </row>
    <row r="192" spans="1:47" ht="12.75" customHeight="1">
      <c r="A192" s="121"/>
      <c r="B192" s="121"/>
      <c r="C192" s="121"/>
      <c r="D192" s="71" t="str">
        <f t="shared" ref="D192:R192" si="174">D6</f>
        <v>ACT.</v>
      </c>
      <c r="E192" s="71" t="str">
        <f t="shared" si="174"/>
        <v>ACT.</v>
      </c>
      <c r="F192" s="71" t="str">
        <f t="shared" si="174"/>
        <v>ACT.</v>
      </c>
      <c r="G192" s="71" t="str">
        <f t="shared" si="174"/>
        <v>ACT.</v>
      </c>
      <c r="H192" s="71" t="str">
        <f t="shared" si="174"/>
        <v>ACT.</v>
      </c>
      <c r="I192" s="71" t="str">
        <f t="shared" si="174"/>
        <v>ACT.</v>
      </c>
      <c r="J192" s="71" t="str">
        <f t="shared" si="174"/>
        <v>ACT.</v>
      </c>
      <c r="K192" s="71" t="str">
        <f t="shared" si="174"/>
        <v>ACT.</v>
      </c>
      <c r="L192" s="71" t="str">
        <f t="shared" si="174"/>
        <v>3rd CE</v>
      </c>
      <c r="M192" s="71" t="str">
        <f t="shared" si="174"/>
        <v>3rd CE</v>
      </c>
      <c r="N192" s="71" t="str">
        <f t="shared" si="174"/>
        <v>3rd CE</v>
      </c>
      <c r="O192" s="71" t="str">
        <f t="shared" si="174"/>
        <v>3rd CE</v>
      </c>
      <c r="P192" s="71" t="str">
        <f t="shared" si="174"/>
        <v>TOTAL</v>
      </c>
      <c r="Q192" s="71" t="str">
        <f t="shared" si="174"/>
        <v>JULY</v>
      </c>
      <c r="R192" s="71" t="str">
        <f t="shared" si="174"/>
        <v>ESTIMATED</v>
      </c>
      <c r="S192" s="84"/>
      <c r="T192" s="71" t="str">
        <f>T6</f>
        <v>PLAN</v>
      </c>
      <c r="U192" s="71" t="str">
        <f>U6</f>
        <v>SEPT.</v>
      </c>
      <c r="V192" s="71" t="str">
        <f>V6</f>
        <v>PLAN</v>
      </c>
      <c r="W192" s="63"/>
      <c r="X192" s="63"/>
      <c r="Y192" s="63"/>
      <c r="Z192" s="63"/>
      <c r="AA192" s="60"/>
      <c r="AB192" s="71" t="str">
        <f t="shared" ref="AB192:AD193" si="175">AB6</f>
        <v>TOTAL</v>
      </c>
      <c r="AC192" s="71" t="str">
        <f t="shared" si="175"/>
        <v>SEPT.</v>
      </c>
      <c r="AD192" s="71" t="str">
        <f t="shared" si="175"/>
        <v>ESTIMATED</v>
      </c>
      <c r="AE192" s="63"/>
      <c r="AF192" s="71" t="str">
        <f>AF6</f>
        <v>PLAN</v>
      </c>
      <c r="AG192" s="71" t="str">
        <f>AG6</f>
        <v>SEPT.</v>
      </c>
      <c r="AH192" s="71" t="str">
        <f>AH6</f>
        <v>PLAN</v>
      </c>
      <c r="AI192" s="63"/>
      <c r="AJ192" s="206" t="str">
        <f>AJ6</f>
        <v>ACT./EST. vs. PLAN</v>
      </c>
      <c r="AK192" s="206"/>
      <c r="AL192" s="63"/>
      <c r="AM192" s="206" t="str">
        <f>AM6</f>
        <v>2nd C.E.</v>
      </c>
      <c r="AN192" s="206"/>
      <c r="AO192" s="63"/>
      <c r="AP192" s="206" t="str">
        <f>AP6</f>
        <v>Sept. YTD</v>
      </c>
      <c r="AQ192" s="206"/>
      <c r="AR192" s="63"/>
      <c r="AS192" s="63"/>
      <c r="AT192" s="63"/>
      <c r="AU192" s="63"/>
    </row>
    <row r="193" spans="1:47" ht="12.75" customHeight="1">
      <c r="A193" s="121"/>
      <c r="B193" s="121"/>
      <c r="C193" s="121"/>
      <c r="D193" s="73" t="str">
        <f t="shared" ref="D193:R193" si="176">D7</f>
        <v>JAN</v>
      </c>
      <c r="E193" s="73" t="str">
        <f t="shared" si="176"/>
        <v>FEB</v>
      </c>
      <c r="F193" s="73" t="str">
        <f t="shared" si="176"/>
        <v>MAR</v>
      </c>
      <c r="G193" s="73" t="str">
        <f t="shared" si="176"/>
        <v>APR</v>
      </c>
      <c r="H193" s="73" t="str">
        <f t="shared" si="176"/>
        <v>MAY</v>
      </c>
      <c r="I193" s="73" t="str">
        <f t="shared" si="176"/>
        <v>JUN</v>
      </c>
      <c r="J193" s="73" t="str">
        <f t="shared" si="176"/>
        <v>JUL</v>
      </c>
      <c r="K193" s="73" t="str">
        <f t="shared" si="176"/>
        <v>AUG</v>
      </c>
      <c r="L193" s="73" t="str">
        <f t="shared" si="176"/>
        <v>SEP</v>
      </c>
      <c r="M193" s="73" t="str">
        <f t="shared" si="176"/>
        <v>OCT</v>
      </c>
      <c r="N193" s="73" t="str">
        <f t="shared" si="176"/>
        <v>NOV</v>
      </c>
      <c r="O193" s="73" t="str">
        <f t="shared" si="176"/>
        <v>DEC</v>
      </c>
      <c r="P193" s="73">
        <f t="shared" si="176"/>
        <v>2001</v>
      </c>
      <c r="Q193" s="73" t="str">
        <f t="shared" si="176"/>
        <v>Y-T-D</v>
      </c>
      <c r="R193" s="73" t="str">
        <f t="shared" si="176"/>
        <v>R.M.</v>
      </c>
      <c r="S193" s="84"/>
      <c r="T193" s="73">
        <f>T7</f>
        <v>2001</v>
      </c>
      <c r="U193" s="73" t="str">
        <f>U7</f>
        <v>Y-T-D</v>
      </c>
      <c r="V193" s="73" t="str">
        <f>V7</f>
        <v>R.M.</v>
      </c>
      <c r="W193" s="63"/>
      <c r="X193" s="63"/>
      <c r="Y193" s="63"/>
      <c r="Z193" s="63"/>
      <c r="AA193" s="60"/>
      <c r="AB193" s="73">
        <f t="shared" si="175"/>
        <v>2001</v>
      </c>
      <c r="AC193" s="73" t="str">
        <f t="shared" si="175"/>
        <v>Y-T-D</v>
      </c>
      <c r="AD193" s="73" t="str">
        <f t="shared" si="175"/>
        <v>R.M.</v>
      </c>
      <c r="AE193" s="63"/>
      <c r="AF193" s="73">
        <f>AF7</f>
        <v>2001</v>
      </c>
      <c r="AG193" s="73" t="str">
        <f>AG7</f>
        <v>Y-T-D</v>
      </c>
      <c r="AH193" s="73" t="str">
        <f>AH7</f>
        <v>R.M.</v>
      </c>
      <c r="AI193" s="63"/>
      <c r="AJ193" s="73" t="str">
        <f>AJ7</f>
        <v>Y-T-D</v>
      </c>
      <c r="AK193" s="73" t="str">
        <f>AK7</f>
        <v>ANNUAL</v>
      </c>
      <c r="AL193" s="63"/>
      <c r="AM193" s="73" t="str">
        <f>AM7</f>
        <v>ANNUAL</v>
      </c>
      <c r="AN193" s="73" t="str">
        <f>AN7</f>
        <v>Variance</v>
      </c>
      <c r="AO193" s="63"/>
      <c r="AP193" s="73" t="str">
        <f>AP7</f>
        <v>2nd C.E.</v>
      </c>
      <c r="AQ193" s="73" t="str">
        <f>AQ7</f>
        <v>Variance</v>
      </c>
      <c r="AR193" s="63"/>
      <c r="AS193" s="63"/>
      <c r="AT193" s="63"/>
      <c r="AU193" s="63"/>
    </row>
    <row r="194" spans="1:47" ht="12.75" customHeight="1">
      <c r="A194" s="122" t="s">
        <v>418</v>
      </c>
      <c r="B194" s="121"/>
      <c r="C194" s="12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63"/>
      <c r="W194" s="63"/>
      <c r="X194" s="63"/>
      <c r="Y194" s="63"/>
      <c r="Z194" s="63"/>
      <c r="AA194" s="123" t="str">
        <f>A194</f>
        <v xml:space="preserve"> " OTHER "</v>
      </c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</row>
    <row r="195" spans="1:47" ht="12.75" customHeight="1">
      <c r="A195" s="124" t="s">
        <v>419</v>
      </c>
      <c r="B195" s="121"/>
      <c r="C195" s="121"/>
      <c r="D195" s="125">
        <f>-D343</f>
        <v>-2772</v>
      </c>
      <c r="E195" s="125">
        <f t="shared" ref="E195:O195" si="177">-E343</f>
        <v>3495</v>
      </c>
      <c r="F195" s="125">
        <f t="shared" si="177"/>
        <v>346</v>
      </c>
      <c r="G195" s="125">
        <f t="shared" si="177"/>
        <v>1502</v>
      </c>
      <c r="H195" s="125">
        <f t="shared" si="177"/>
        <v>4305</v>
      </c>
      <c r="I195" s="125">
        <f t="shared" si="177"/>
        <v>3265</v>
      </c>
      <c r="J195" s="125">
        <f t="shared" si="177"/>
        <v>3422</v>
      </c>
      <c r="K195" s="125">
        <f t="shared" si="177"/>
        <v>341</v>
      </c>
      <c r="L195" s="125">
        <f t="shared" si="177"/>
        <v>418</v>
      </c>
      <c r="M195" s="125">
        <f t="shared" si="177"/>
        <v>317</v>
      </c>
      <c r="N195" s="125">
        <f t="shared" si="177"/>
        <v>918</v>
      </c>
      <c r="O195" s="125">
        <f t="shared" si="177"/>
        <v>-9786</v>
      </c>
      <c r="P195" s="75">
        <f>SUM(D195:O195)</f>
        <v>5771</v>
      </c>
      <c r="Q195" s="76">
        <f>SUM(D195:J195)</f>
        <v>13563</v>
      </c>
      <c r="R195" s="75">
        <f>P195-Q195</f>
        <v>-7792</v>
      </c>
      <c r="S195" s="84"/>
      <c r="T195" s="76">
        <v>3321</v>
      </c>
      <c r="U195" s="76">
        <v>3854</v>
      </c>
      <c r="V195" s="75">
        <f>T195-U195</f>
        <v>-533</v>
      </c>
      <c r="W195" s="63"/>
      <c r="X195" s="63"/>
      <c r="Y195" s="63"/>
      <c r="Z195" s="63"/>
      <c r="AA195" s="63" t="str">
        <f>A195</f>
        <v xml:space="preserve">   Change in Other Regulatory Assets</v>
      </c>
      <c r="AB195" s="108">
        <f>P195</f>
        <v>5771</v>
      </c>
      <c r="AC195" s="76">
        <f>SUM(D195:L195)</f>
        <v>14322</v>
      </c>
      <c r="AD195" s="75">
        <f>AB195-AC195</f>
        <v>-8551</v>
      </c>
      <c r="AE195" s="63"/>
      <c r="AF195" s="75">
        <f>T195</f>
        <v>3321</v>
      </c>
      <c r="AG195" s="75">
        <f>U195</f>
        <v>3854</v>
      </c>
      <c r="AH195" s="75">
        <f>AF195-AG195</f>
        <v>-533</v>
      </c>
      <c r="AI195" s="63"/>
      <c r="AJ195" s="75">
        <f>AC195-AG195</f>
        <v>10468</v>
      </c>
      <c r="AK195" s="75">
        <f>AB195-AF195</f>
        <v>2450</v>
      </c>
      <c r="AL195" s="63"/>
      <c r="AM195" s="76">
        <v>810</v>
      </c>
      <c r="AN195" s="75">
        <f>AB195-AM195</f>
        <v>4961</v>
      </c>
      <c r="AO195" s="63"/>
      <c r="AP195" s="76">
        <v>11376</v>
      </c>
      <c r="AQ195" s="75">
        <f>AC195-AP195</f>
        <v>2946</v>
      </c>
      <c r="AR195" s="63"/>
      <c r="AS195" s="63"/>
      <c r="AT195" s="63"/>
      <c r="AU195" s="63"/>
    </row>
    <row r="196" spans="1:47" ht="12.75" customHeight="1">
      <c r="A196" s="124" t="s">
        <v>420</v>
      </c>
      <c r="B196" s="121"/>
      <c r="C196" s="121"/>
      <c r="D196" s="230">
        <f>D346</f>
        <v>0</v>
      </c>
      <c r="E196" s="230">
        <f t="shared" ref="E196:O196" si="178">E346</f>
        <v>0</v>
      </c>
      <c r="F196" s="230">
        <f t="shared" si="178"/>
        <v>0</v>
      </c>
      <c r="G196" s="230">
        <f t="shared" si="178"/>
        <v>0</v>
      </c>
      <c r="H196" s="230">
        <f t="shared" si="178"/>
        <v>0</v>
      </c>
      <c r="I196" s="230">
        <f t="shared" si="178"/>
        <v>0</v>
      </c>
      <c r="J196" s="230">
        <f t="shared" si="178"/>
        <v>0</v>
      </c>
      <c r="K196" s="230">
        <f t="shared" si="178"/>
        <v>0</v>
      </c>
      <c r="L196" s="230">
        <f t="shared" si="178"/>
        <v>0</v>
      </c>
      <c r="M196" s="230">
        <f t="shared" si="178"/>
        <v>0</v>
      </c>
      <c r="N196" s="230">
        <f t="shared" si="178"/>
        <v>0</v>
      </c>
      <c r="O196" s="230">
        <f t="shared" si="178"/>
        <v>0</v>
      </c>
      <c r="P196" s="80">
        <f>SUM(D196:O196)</f>
        <v>0</v>
      </c>
      <c r="Q196" s="99">
        <f>SUM(D196:J196)</f>
        <v>0</v>
      </c>
      <c r="R196" s="80">
        <f>P196-Q196</f>
        <v>0</v>
      </c>
      <c r="S196" s="127"/>
      <c r="T196" s="99">
        <v>0</v>
      </c>
      <c r="U196" s="99">
        <v>0</v>
      </c>
      <c r="V196" s="80">
        <f>T196-U196</f>
        <v>0</v>
      </c>
      <c r="W196" s="63"/>
      <c r="X196" s="63"/>
      <c r="Y196" s="63"/>
      <c r="Z196" s="63"/>
      <c r="AA196" s="63" t="str">
        <f>A196</f>
        <v xml:space="preserve">         "     "      "           "        Liabilities</v>
      </c>
      <c r="AB196" s="109">
        <f>P196</f>
        <v>0</v>
      </c>
      <c r="AC196" s="99">
        <f>SUM(D196:L196)</f>
        <v>0</v>
      </c>
      <c r="AD196" s="80">
        <f>AB196-AC196</f>
        <v>0</v>
      </c>
      <c r="AE196" s="63"/>
      <c r="AF196" s="80">
        <f>T196</f>
        <v>0</v>
      </c>
      <c r="AG196" s="80">
        <f>U196</f>
        <v>0</v>
      </c>
      <c r="AH196" s="80">
        <f>AF196-AG196</f>
        <v>0</v>
      </c>
      <c r="AI196" s="63"/>
      <c r="AJ196" s="80">
        <f>AC196-AG196</f>
        <v>0</v>
      </c>
      <c r="AK196" s="80">
        <f>AB196-AF196</f>
        <v>0</v>
      </c>
      <c r="AL196" s="63"/>
      <c r="AM196" s="99">
        <v>0</v>
      </c>
      <c r="AN196" s="80">
        <f>AB196-AM196</f>
        <v>0</v>
      </c>
      <c r="AO196" s="81"/>
      <c r="AP196" s="99">
        <v>0</v>
      </c>
      <c r="AQ196" s="80">
        <f>AC196-AP196</f>
        <v>0</v>
      </c>
      <c r="AR196" s="63"/>
      <c r="AS196" s="63"/>
      <c r="AT196" s="63"/>
      <c r="AU196" s="63"/>
    </row>
    <row r="197" spans="1:47" ht="3.95" customHeight="1">
      <c r="A197" s="124"/>
      <c r="B197" s="121"/>
      <c r="C197" s="121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84"/>
      <c r="Q197" s="84"/>
      <c r="R197" s="84"/>
      <c r="S197" s="84"/>
      <c r="T197" s="84"/>
      <c r="U197" s="84"/>
      <c r="V197" s="63"/>
      <c r="W197" s="63"/>
      <c r="X197" s="63"/>
      <c r="Y197" s="63"/>
      <c r="Z197" s="63"/>
      <c r="AA197" s="60"/>
      <c r="AB197" s="63"/>
      <c r="AC197" s="81"/>
      <c r="AD197" s="81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</row>
    <row r="198" spans="1:47" ht="12.75" customHeight="1">
      <c r="A198" s="210" t="s">
        <v>421</v>
      </c>
      <c r="B198" s="211"/>
      <c r="C198" s="211"/>
      <c r="D198" s="212">
        <f>D195+D196</f>
        <v>-2772</v>
      </c>
      <c r="E198" s="212">
        <f t="shared" ref="E198:T198" si="179">E195+E196</f>
        <v>3495</v>
      </c>
      <c r="F198" s="212">
        <f t="shared" si="179"/>
        <v>346</v>
      </c>
      <c r="G198" s="212">
        <f t="shared" si="179"/>
        <v>1502</v>
      </c>
      <c r="H198" s="212">
        <f t="shared" si="179"/>
        <v>4305</v>
      </c>
      <c r="I198" s="212">
        <f t="shared" si="179"/>
        <v>3265</v>
      </c>
      <c r="J198" s="212">
        <f t="shared" si="179"/>
        <v>3422</v>
      </c>
      <c r="K198" s="212">
        <f t="shared" si="179"/>
        <v>341</v>
      </c>
      <c r="L198" s="212">
        <f t="shared" si="179"/>
        <v>418</v>
      </c>
      <c r="M198" s="212">
        <f t="shared" si="179"/>
        <v>317</v>
      </c>
      <c r="N198" s="212">
        <f t="shared" si="179"/>
        <v>918</v>
      </c>
      <c r="O198" s="212">
        <f t="shared" si="179"/>
        <v>-9786</v>
      </c>
      <c r="P198" s="212">
        <f t="shared" si="179"/>
        <v>5771</v>
      </c>
      <c r="Q198" s="212">
        <f t="shared" si="179"/>
        <v>13563</v>
      </c>
      <c r="R198" s="212">
        <f t="shared" si="179"/>
        <v>-7792</v>
      </c>
      <c r="S198" s="84"/>
      <c r="T198" s="212">
        <f t="shared" si="179"/>
        <v>3321</v>
      </c>
      <c r="U198" s="212">
        <f>U195+U196</f>
        <v>3854</v>
      </c>
      <c r="V198" s="212">
        <f>V195+V196</f>
        <v>-533</v>
      </c>
      <c r="W198" s="63"/>
      <c r="X198" s="63"/>
      <c r="Y198" s="63"/>
      <c r="Z198" s="63"/>
      <c r="AA198" s="60" t="str">
        <f>A198</f>
        <v xml:space="preserve">      Net Change in Regulatory Assets / Liabilities</v>
      </c>
      <c r="AB198" s="212">
        <f t="shared" ref="AB198:AQ198" si="180">AB195+AB196</f>
        <v>5771</v>
      </c>
      <c r="AC198" s="212">
        <f t="shared" si="180"/>
        <v>14322</v>
      </c>
      <c r="AD198" s="212">
        <f t="shared" si="180"/>
        <v>-8551</v>
      </c>
      <c r="AE198" s="63"/>
      <c r="AF198" s="212">
        <f t="shared" si="180"/>
        <v>3321</v>
      </c>
      <c r="AG198" s="212">
        <f t="shared" si="180"/>
        <v>3854</v>
      </c>
      <c r="AH198" s="212">
        <f t="shared" si="180"/>
        <v>-533</v>
      </c>
      <c r="AI198" s="63"/>
      <c r="AJ198" s="212">
        <f t="shared" si="180"/>
        <v>10468</v>
      </c>
      <c r="AK198" s="212">
        <f t="shared" si="180"/>
        <v>2450</v>
      </c>
      <c r="AL198" s="63"/>
      <c r="AM198" s="128">
        <f t="shared" si="180"/>
        <v>810</v>
      </c>
      <c r="AN198" s="128">
        <f t="shared" si="180"/>
        <v>4961</v>
      </c>
      <c r="AO198" s="63"/>
      <c r="AP198" s="128">
        <f t="shared" si="180"/>
        <v>11376</v>
      </c>
      <c r="AQ198" s="128">
        <f t="shared" si="180"/>
        <v>2946</v>
      </c>
      <c r="AR198" s="63"/>
      <c r="AS198" s="63"/>
      <c r="AT198" s="63"/>
      <c r="AU198" s="63"/>
    </row>
    <row r="199" spans="1:47" ht="6" customHeight="1">
      <c r="A199" s="129"/>
      <c r="B199" s="121"/>
      <c r="C199" s="121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63"/>
      <c r="W199" s="63"/>
      <c r="X199" s="63"/>
      <c r="Y199" s="63"/>
      <c r="Z199" s="63"/>
      <c r="AA199" s="60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</row>
    <row r="200" spans="1:47" ht="12.75" customHeight="1">
      <c r="A200" s="130" t="s">
        <v>422</v>
      </c>
      <c r="B200" s="121"/>
      <c r="C200" s="12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63"/>
      <c r="W200" s="63"/>
      <c r="X200" s="63"/>
      <c r="Y200" s="63"/>
      <c r="Z200" s="63"/>
      <c r="AA200" s="63" t="str">
        <f>A200</f>
        <v xml:space="preserve">   Other Items (Cash Flow Model)</v>
      </c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</row>
    <row r="201" spans="1:47" ht="12.75" customHeight="1">
      <c r="A201" s="124" t="s">
        <v>423</v>
      </c>
      <c r="B201" s="121"/>
      <c r="C201" s="121"/>
      <c r="D201" s="125">
        <f>-D258</f>
        <v>0</v>
      </c>
      <c r="E201" s="125">
        <f t="shared" ref="E201:O201" si="181">-E258</f>
        <v>0</v>
      </c>
      <c r="F201" s="125">
        <f t="shared" si="181"/>
        <v>0</v>
      </c>
      <c r="G201" s="125">
        <f t="shared" si="181"/>
        <v>0</v>
      </c>
      <c r="H201" s="125">
        <f t="shared" si="181"/>
        <v>0</v>
      </c>
      <c r="I201" s="125">
        <f t="shared" si="181"/>
        <v>0</v>
      </c>
      <c r="J201" s="125">
        <f t="shared" si="181"/>
        <v>0</v>
      </c>
      <c r="K201" s="125">
        <f t="shared" si="181"/>
        <v>0</v>
      </c>
      <c r="L201" s="125">
        <f t="shared" si="181"/>
        <v>0</v>
      </c>
      <c r="M201" s="125">
        <f t="shared" si="181"/>
        <v>0</v>
      </c>
      <c r="N201" s="125">
        <f t="shared" si="181"/>
        <v>0</v>
      </c>
      <c r="O201" s="125">
        <f t="shared" si="181"/>
        <v>0</v>
      </c>
      <c r="P201" s="75">
        <f t="shared" ref="P201:P207" si="182">SUM(D201:O201)</f>
        <v>0</v>
      </c>
      <c r="Q201" s="76">
        <f t="shared" ref="Q201:Q207" si="183">SUM(D201:J201)</f>
        <v>0</v>
      </c>
      <c r="R201" s="75">
        <f t="shared" ref="R201:R207" si="184">P201-Q201</f>
        <v>0</v>
      </c>
      <c r="S201" s="84"/>
      <c r="T201" s="76">
        <v>0</v>
      </c>
      <c r="U201" s="76">
        <v>0</v>
      </c>
      <c r="V201" s="75">
        <f>T201-U201</f>
        <v>0</v>
      </c>
      <c r="W201" s="63"/>
      <c r="X201" s="63"/>
      <c r="Y201" s="63"/>
      <c r="Z201" s="63"/>
      <c r="AA201" s="63" t="str">
        <f>A201</f>
        <v xml:space="preserve">      Change in Cash / Temporary Cash Investments</v>
      </c>
      <c r="AB201" s="108">
        <f>P201</f>
        <v>0</v>
      </c>
      <c r="AC201" s="76">
        <f t="shared" ref="AC201:AC207" si="185">SUM(D201:L201)</f>
        <v>0</v>
      </c>
      <c r="AD201" s="75">
        <f t="shared" ref="AD201:AD207" si="186">AB201-AC201</f>
        <v>0</v>
      </c>
      <c r="AE201" s="63"/>
      <c r="AF201" s="75">
        <f>T201</f>
        <v>0</v>
      </c>
      <c r="AG201" s="75">
        <f>U201</f>
        <v>0</v>
      </c>
      <c r="AH201" s="75">
        <f>AF201-AG201</f>
        <v>0</v>
      </c>
      <c r="AI201" s="63"/>
      <c r="AJ201" s="75">
        <f>AC201-AG201</f>
        <v>0</v>
      </c>
      <c r="AK201" s="75">
        <f>AB201-AF201</f>
        <v>0</v>
      </c>
      <c r="AL201" s="63"/>
      <c r="AM201" s="76">
        <v>0</v>
      </c>
      <c r="AN201" s="75">
        <f>AB201-AM201</f>
        <v>0</v>
      </c>
      <c r="AO201" s="63"/>
      <c r="AP201" s="76">
        <v>0</v>
      </c>
      <c r="AQ201" s="75">
        <f>AC201-AP201</f>
        <v>0</v>
      </c>
      <c r="AR201" s="63"/>
      <c r="AS201" s="63"/>
      <c r="AT201" s="63"/>
      <c r="AU201" s="63"/>
    </row>
    <row r="202" spans="1:47" ht="3.95" customHeight="1">
      <c r="A202" s="131"/>
      <c r="B202" s="121"/>
      <c r="C202" s="121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63"/>
      <c r="W202" s="63"/>
      <c r="X202" s="63"/>
      <c r="Y202" s="63"/>
      <c r="Z202" s="63"/>
      <c r="AA202" s="60"/>
      <c r="AB202" s="63"/>
      <c r="AC202" s="63"/>
      <c r="AD202" s="63"/>
      <c r="AE202" s="63"/>
      <c r="AF202" s="63"/>
      <c r="AG202" s="84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</row>
    <row r="203" spans="1:47" ht="12.75" customHeight="1">
      <c r="A203" s="106" t="s">
        <v>501</v>
      </c>
      <c r="B203" s="202" t="s">
        <v>502</v>
      </c>
      <c r="C203" s="121"/>
      <c r="D203" s="133">
        <v>0</v>
      </c>
      <c r="E203" s="133">
        <v>0</v>
      </c>
      <c r="F203" s="133">
        <v>0</v>
      </c>
      <c r="G203" s="133">
        <v>0</v>
      </c>
      <c r="H203" s="133">
        <v>0</v>
      </c>
      <c r="I203" s="133">
        <v>0</v>
      </c>
      <c r="J203" s="133">
        <v>0</v>
      </c>
      <c r="K203" s="133">
        <v>0</v>
      </c>
      <c r="L203" s="133">
        <v>0</v>
      </c>
      <c r="M203" s="133">
        <v>0</v>
      </c>
      <c r="N203" s="133">
        <v>0</v>
      </c>
      <c r="O203" s="133">
        <v>0</v>
      </c>
      <c r="P203" s="75">
        <f t="shared" si="182"/>
        <v>0</v>
      </c>
      <c r="Q203" s="76">
        <f t="shared" si="183"/>
        <v>0</v>
      </c>
      <c r="R203" s="75">
        <f t="shared" si="184"/>
        <v>0</v>
      </c>
      <c r="S203" s="84"/>
      <c r="T203" s="76">
        <v>0</v>
      </c>
      <c r="U203" s="76">
        <v>0</v>
      </c>
      <c r="V203" s="75">
        <f>T203-U203</f>
        <v>0</v>
      </c>
      <c r="W203" s="63"/>
      <c r="X203" s="63"/>
      <c r="Y203" s="63"/>
      <c r="Z203" s="63"/>
      <c r="AA203" s="63" t="str">
        <f>A203</f>
        <v xml:space="preserve">      Change in Invest. &amp; Other Assets</v>
      </c>
      <c r="AB203" s="108">
        <f>P203</f>
        <v>0</v>
      </c>
      <c r="AC203" s="76">
        <f t="shared" si="185"/>
        <v>0</v>
      </c>
      <c r="AD203" s="75">
        <f t="shared" si="186"/>
        <v>0</v>
      </c>
      <c r="AE203" s="63"/>
      <c r="AF203" s="75">
        <f>T203</f>
        <v>0</v>
      </c>
      <c r="AG203" s="75">
        <f>U203</f>
        <v>0</v>
      </c>
      <c r="AH203" s="75">
        <f>AF203-AG203</f>
        <v>0</v>
      </c>
      <c r="AI203" s="63"/>
      <c r="AJ203" s="75">
        <f>AC203-AG203</f>
        <v>0</v>
      </c>
      <c r="AK203" s="75">
        <f>AB203-AF203</f>
        <v>0</v>
      </c>
      <c r="AL203" s="63"/>
      <c r="AM203" s="76">
        <v>0</v>
      </c>
      <c r="AN203" s="75">
        <f>AB203-AM203</f>
        <v>0</v>
      </c>
      <c r="AO203" s="63"/>
      <c r="AP203" s="76">
        <v>0</v>
      </c>
      <c r="AQ203" s="75">
        <f>AC203-AP203</f>
        <v>0</v>
      </c>
      <c r="AR203" s="63"/>
      <c r="AS203" s="63"/>
      <c r="AT203" s="63"/>
      <c r="AU203" s="63"/>
    </row>
    <row r="204" spans="1:47" ht="3.95" customHeight="1">
      <c r="A204" s="131"/>
      <c r="B204" s="121"/>
      <c r="C204" s="12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121"/>
      <c r="U204" s="121"/>
      <c r="V204" s="63"/>
      <c r="W204" s="63"/>
      <c r="X204" s="63"/>
      <c r="Y204" s="63"/>
      <c r="Z204" s="63"/>
      <c r="AA204" s="60"/>
      <c r="AB204" s="63"/>
      <c r="AC204" s="63"/>
      <c r="AD204" s="63"/>
      <c r="AE204" s="63"/>
      <c r="AF204" s="63"/>
      <c r="AG204" s="84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</row>
    <row r="205" spans="1:47" ht="12.75" customHeight="1">
      <c r="A205" s="124" t="s">
        <v>424</v>
      </c>
      <c r="B205" s="121"/>
      <c r="C205" s="121"/>
      <c r="D205" s="125">
        <f>-SUM(D305:D318)</f>
        <v>759</v>
      </c>
      <c r="E205" s="125">
        <f t="shared" ref="E205:O205" si="187">-SUM(E305:E318)</f>
        <v>-1624</v>
      </c>
      <c r="F205" s="125">
        <f t="shared" si="187"/>
        <v>888</v>
      </c>
      <c r="G205" s="125">
        <f t="shared" si="187"/>
        <v>-208</v>
      </c>
      <c r="H205" s="125">
        <f t="shared" si="187"/>
        <v>-237</v>
      </c>
      <c r="I205" s="125">
        <f t="shared" si="187"/>
        <v>-685</v>
      </c>
      <c r="J205" s="125">
        <f t="shared" si="187"/>
        <v>-701</v>
      </c>
      <c r="K205" s="125">
        <f t="shared" si="187"/>
        <v>-2</v>
      </c>
      <c r="L205" s="125">
        <f t="shared" si="187"/>
        <v>1</v>
      </c>
      <c r="M205" s="125">
        <f t="shared" si="187"/>
        <v>-1</v>
      </c>
      <c r="N205" s="125">
        <f t="shared" si="187"/>
        <v>71</v>
      </c>
      <c r="O205" s="125">
        <f t="shared" si="187"/>
        <v>768</v>
      </c>
      <c r="P205" s="75">
        <f t="shared" si="182"/>
        <v>-971</v>
      </c>
      <c r="Q205" s="76">
        <f t="shared" si="183"/>
        <v>-1808</v>
      </c>
      <c r="R205" s="75">
        <f t="shared" si="184"/>
        <v>837</v>
      </c>
      <c r="S205" s="84"/>
      <c r="T205" s="76">
        <v>-6848</v>
      </c>
      <c r="U205" s="76">
        <v>-5700</v>
      </c>
      <c r="V205" s="75">
        <f>T205-U205</f>
        <v>-1148</v>
      </c>
      <c r="W205" s="63"/>
      <c r="X205" s="63"/>
      <c r="Y205" s="63"/>
      <c r="Z205" s="63"/>
      <c r="AA205" s="63" t="str">
        <f>A205</f>
        <v xml:space="preserve">      Change in Deferred Charges</v>
      </c>
      <c r="AB205" s="108">
        <f>P205</f>
        <v>-971</v>
      </c>
      <c r="AC205" s="76">
        <f t="shared" si="185"/>
        <v>-1809</v>
      </c>
      <c r="AD205" s="75">
        <f t="shared" si="186"/>
        <v>838</v>
      </c>
      <c r="AE205" s="63"/>
      <c r="AF205" s="75">
        <f>T205</f>
        <v>-6848</v>
      </c>
      <c r="AG205" s="75">
        <f>U205</f>
        <v>-5700</v>
      </c>
      <c r="AH205" s="75">
        <f>AF205-AG205</f>
        <v>-1148</v>
      </c>
      <c r="AI205" s="63"/>
      <c r="AJ205" s="75">
        <f>AC205-AG205</f>
        <v>3891</v>
      </c>
      <c r="AK205" s="75">
        <f>AB205-AF205</f>
        <v>5877</v>
      </c>
      <c r="AL205" s="63"/>
      <c r="AM205" s="76">
        <v>-469</v>
      </c>
      <c r="AN205" s="75">
        <f>AB205-AM205</f>
        <v>-502</v>
      </c>
      <c r="AO205" s="63"/>
      <c r="AP205" s="76">
        <v>-1207</v>
      </c>
      <c r="AQ205" s="75">
        <f>AC205-AP205</f>
        <v>-602</v>
      </c>
      <c r="AR205" s="63"/>
      <c r="AS205" s="63"/>
      <c r="AT205" s="63"/>
      <c r="AU205" s="63"/>
    </row>
    <row r="206" spans="1:47" ht="3.95" customHeight="1">
      <c r="A206" s="129"/>
      <c r="B206" s="121"/>
      <c r="C206" s="121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63"/>
      <c r="W206" s="63"/>
      <c r="X206" s="63"/>
      <c r="Y206" s="63"/>
      <c r="Z206" s="63"/>
      <c r="AA206" s="60"/>
      <c r="AB206" s="63"/>
      <c r="AC206" s="76"/>
      <c r="AD206" s="63"/>
      <c r="AE206" s="63"/>
      <c r="AF206" s="63"/>
      <c r="AG206" s="84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</row>
    <row r="207" spans="1:47" ht="12.75" customHeight="1">
      <c r="A207" s="106" t="s">
        <v>586</v>
      </c>
      <c r="B207" s="121"/>
      <c r="C207" s="121"/>
      <c r="D207" s="125">
        <f t="shared" ref="D207:O207" si="188">SUM(D333:D338)</f>
        <v>-1</v>
      </c>
      <c r="E207" s="125">
        <f t="shared" si="188"/>
        <v>0</v>
      </c>
      <c r="F207" s="125">
        <f t="shared" si="188"/>
        <v>2</v>
      </c>
      <c r="G207" s="125">
        <f t="shared" si="188"/>
        <v>-5</v>
      </c>
      <c r="H207" s="125">
        <f t="shared" si="188"/>
        <v>2</v>
      </c>
      <c r="I207" s="125">
        <f t="shared" si="188"/>
        <v>3</v>
      </c>
      <c r="J207" s="125">
        <f t="shared" si="188"/>
        <v>0</v>
      </c>
      <c r="K207" s="125">
        <f t="shared" si="188"/>
        <v>0</v>
      </c>
      <c r="L207" s="125">
        <f t="shared" si="188"/>
        <v>0</v>
      </c>
      <c r="M207" s="125">
        <f t="shared" si="188"/>
        <v>88</v>
      </c>
      <c r="N207" s="125">
        <f t="shared" si="188"/>
        <v>0</v>
      </c>
      <c r="O207" s="125">
        <f t="shared" si="188"/>
        <v>-986</v>
      </c>
      <c r="P207" s="75">
        <f t="shared" si="182"/>
        <v>-897</v>
      </c>
      <c r="Q207" s="76">
        <f t="shared" si="183"/>
        <v>1</v>
      </c>
      <c r="R207" s="75">
        <f t="shared" si="184"/>
        <v>-898</v>
      </c>
      <c r="S207" s="84"/>
      <c r="T207" s="76">
        <v>-903</v>
      </c>
      <c r="U207" s="76">
        <v>-4</v>
      </c>
      <c r="V207" s="75">
        <f>T207-U207</f>
        <v>-899</v>
      </c>
      <c r="W207" s="63"/>
      <c r="X207" s="63"/>
      <c r="Y207" s="63"/>
      <c r="Z207" s="63"/>
      <c r="AA207" s="63" t="str">
        <f>A207</f>
        <v xml:space="preserve">      Change in Deferred Credits </v>
      </c>
      <c r="AB207" s="108">
        <f>P207</f>
        <v>-897</v>
      </c>
      <c r="AC207" s="76">
        <f t="shared" si="185"/>
        <v>1</v>
      </c>
      <c r="AD207" s="75">
        <f t="shared" si="186"/>
        <v>-898</v>
      </c>
      <c r="AE207" s="63"/>
      <c r="AF207" s="75">
        <f>T207</f>
        <v>-903</v>
      </c>
      <c r="AG207" s="75">
        <f>U207</f>
        <v>-4</v>
      </c>
      <c r="AH207" s="75">
        <f>AF207-AG207</f>
        <v>-899</v>
      </c>
      <c r="AI207" s="63"/>
      <c r="AJ207" s="75">
        <f>AC207-AG207</f>
        <v>5</v>
      </c>
      <c r="AK207" s="75">
        <f>AB207-AF207</f>
        <v>6</v>
      </c>
      <c r="AL207" s="63"/>
      <c r="AM207" s="76">
        <v>-898</v>
      </c>
      <c r="AN207" s="75">
        <f>AB207-AM207</f>
        <v>1</v>
      </c>
      <c r="AO207" s="63"/>
      <c r="AP207" s="76">
        <v>0</v>
      </c>
      <c r="AQ207" s="75">
        <f>AC207-AP207</f>
        <v>1</v>
      </c>
      <c r="AR207" s="63"/>
      <c r="AS207" s="63"/>
      <c r="AT207" s="63"/>
      <c r="AU207" s="63"/>
    </row>
    <row r="208" spans="1:47" ht="3.95" customHeight="1">
      <c r="A208" s="121"/>
      <c r="B208" s="121"/>
      <c r="C208" s="12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121"/>
      <c r="V208" s="63"/>
      <c r="W208" s="63"/>
      <c r="X208" s="63"/>
      <c r="Y208" s="63"/>
      <c r="Z208" s="63"/>
      <c r="AA208" s="60"/>
      <c r="AB208" s="63"/>
      <c r="AC208" s="63"/>
      <c r="AD208" s="63"/>
      <c r="AE208" s="63"/>
      <c r="AF208" s="63"/>
      <c r="AG208" s="84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</row>
    <row r="209" spans="1:47" ht="12.75" customHeight="1">
      <c r="A209" s="124" t="s">
        <v>425</v>
      </c>
      <c r="B209" s="121"/>
      <c r="C209" s="121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63"/>
      <c r="W209" s="63"/>
      <c r="X209" s="63"/>
      <c r="Y209" s="63"/>
      <c r="Z209" s="63"/>
      <c r="AA209" s="63" t="str">
        <f>A209</f>
        <v xml:space="preserve">      Gross Plant</v>
      </c>
      <c r="AB209" s="63"/>
      <c r="AC209" s="63"/>
      <c r="AD209" s="63"/>
      <c r="AE209" s="63"/>
      <c r="AF209" s="63"/>
      <c r="AG209" s="84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</row>
    <row r="210" spans="1:47" ht="12.75" customHeight="1">
      <c r="A210" s="106" t="s">
        <v>426</v>
      </c>
      <c r="B210" s="121"/>
      <c r="C210" s="121"/>
      <c r="D210" s="125">
        <f>-D271</f>
        <v>0</v>
      </c>
      <c r="E210" s="125">
        <f t="shared" ref="E210:O212" si="189">-E271</f>
        <v>0</v>
      </c>
      <c r="F210" s="125">
        <f t="shared" si="189"/>
        <v>0</v>
      </c>
      <c r="G210" s="125">
        <f t="shared" si="189"/>
        <v>0</v>
      </c>
      <c r="H210" s="125">
        <f t="shared" si="189"/>
        <v>0</v>
      </c>
      <c r="I210" s="125">
        <f t="shared" si="189"/>
        <v>0</v>
      </c>
      <c r="J210" s="125">
        <f t="shared" si="189"/>
        <v>0</v>
      </c>
      <c r="K210" s="125">
        <f t="shared" si="189"/>
        <v>0</v>
      </c>
      <c r="L210" s="125">
        <f t="shared" si="189"/>
        <v>0</v>
      </c>
      <c r="M210" s="125">
        <f t="shared" si="189"/>
        <v>0</v>
      </c>
      <c r="N210" s="125">
        <f t="shared" si="189"/>
        <v>0</v>
      </c>
      <c r="O210" s="125">
        <f t="shared" si="189"/>
        <v>0</v>
      </c>
      <c r="P210" s="75">
        <f>SUM(D210:O210)</f>
        <v>0</v>
      </c>
      <c r="Q210" s="76">
        <f>SUM(D210:J210)</f>
        <v>0</v>
      </c>
      <c r="R210" s="75">
        <f>P210-Q210</f>
        <v>0</v>
      </c>
      <c r="S210" s="84"/>
      <c r="T210" s="76">
        <v>0</v>
      </c>
      <c r="U210" s="76">
        <v>0</v>
      </c>
      <c r="V210" s="75">
        <f>T210-U210</f>
        <v>0</v>
      </c>
      <c r="W210" s="63"/>
      <c r="X210" s="63"/>
      <c r="Y210" s="63"/>
      <c r="Z210" s="63"/>
      <c r="AA210" s="63" t="str">
        <f>A210</f>
        <v xml:space="preserve">          Reserve Adjustments </v>
      </c>
      <c r="AB210" s="108">
        <f>P210</f>
        <v>0</v>
      </c>
      <c r="AC210" s="76">
        <f>SUM(D210:L210)</f>
        <v>0</v>
      </c>
      <c r="AD210" s="75">
        <f>AB210-AC210</f>
        <v>0</v>
      </c>
      <c r="AE210" s="63"/>
      <c r="AF210" s="75">
        <f t="shared" ref="AF210:AG212" si="190">T210</f>
        <v>0</v>
      </c>
      <c r="AG210" s="75">
        <f t="shared" si="190"/>
        <v>0</v>
      </c>
      <c r="AH210" s="75">
        <f>AF210-AG210</f>
        <v>0</v>
      </c>
      <c r="AI210" s="63"/>
      <c r="AJ210" s="75">
        <f>AC210-AG210</f>
        <v>0</v>
      </c>
      <c r="AK210" s="75">
        <f>AB210-AF210</f>
        <v>0</v>
      </c>
      <c r="AL210" s="63"/>
      <c r="AM210" s="76">
        <v>0</v>
      </c>
      <c r="AN210" s="75">
        <f>AB210-AM210</f>
        <v>0</v>
      </c>
      <c r="AO210" s="63"/>
      <c r="AP210" s="76">
        <v>0</v>
      </c>
      <c r="AQ210" s="75">
        <f>AC210-AP210</f>
        <v>0</v>
      </c>
      <c r="AR210" s="63"/>
      <c r="AS210" s="63"/>
      <c r="AT210" s="63"/>
      <c r="AU210" s="63"/>
    </row>
    <row r="211" spans="1:47" ht="12.75" customHeight="1">
      <c r="A211" s="106" t="s">
        <v>427</v>
      </c>
      <c r="B211" s="194" t="s">
        <v>490</v>
      </c>
      <c r="C211" s="194"/>
      <c r="D211" s="133">
        <v>0</v>
      </c>
      <c r="E211" s="133">
        <v>0</v>
      </c>
      <c r="F211" s="133">
        <v>0</v>
      </c>
      <c r="G211" s="133">
        <v>0</v>
      </c>
      <c r="H211" s="133">
        <v>0</v>
      </c>
      <c r="I211" s="133">
        <v>0</v>
      </c>
      <c r="J211" s="133">
        <v>0</v>
      </c>
      <c r="K211" s="133">
        <v>0</v>
      </c>
      <c r="L211" s="133">
        <v>0</v>
      </c>
      <c r="M211" s="133">
        <v>0</v>
      </c>
      <c r="N211" s="133">
        <v>0</v>
      </c>
      <c r="O211" s="133">
        <v>0</v>
      </c>
      <c r="P211" s="75">
        <f>SUM(D211:O211)</f>
        <v>0</v>
      </c>
      <c r="Q211" s="76">
        <f>SUM(D211:J211)</f>
        <v>0</v>
      </c>
      <c r="R211" s="75">
        <f>P211-Q211</f>
        <v>0</v>
      </c>
      <c r="S211" s="84"/>
      <c r="T211" s="76">
        <v>0</v>
      </c>
      <c r="U211" s="76">
        <v>0</v>
      </c>
      <c r="V211" s="75">
        <f>T211-U211</f>
        <v>0</v>
      </c>
      <c r="W211" s="63"/>
      <c r="X211" s="63"/>
      <c r="Y211" s="63"/>
      <c r="Z211" s="63"/>
      <c r="AA211" s="63" t="str">
        <f>A211</f>
        <v xml:space="preserve">          Storage Imbalance (Acct.117.4) </v>
      </c>
      <c r="AB211" s="108">
        <f>P211</f>
        <v>0</v>
      </c>
      <c r="AC211" s="76">
        <f>SUM(D211:L211)</f>
        <v>0</v>
      </c>
      <c r="AD211" s="75">
        <f>AB211-AC211</f>
        <v>0</v>
      </c>
      <c r="AE211" s="63"/>
      <c r="AF211" s="75">
        <f t="shared" si="190"/>
        <v>0</v>
      </c>
      <c r="AG211" s="75">
        <f t="shared" si="190"/>
        <v>0</v>
      </c>
      <c r="AH211" s="75">
        <f>AF211-AG211</f>
        <v>0</v>
      </c>
      <c r="AI211" s="63"/>
      <c r="AJ211" s="75">
        <f>AC211-AG211</f>
        <v>0</v>
      </c>
      <c r="AK211" s="75">
        <f>AB211-AF211</f>
        <v>0</v>
      </c>
      <c r="AL211" s="63"/>
      <c r="AM211" s="76">
        <v>0</v>
      </c>
      <c r="AN211" s="75">
        <f>AB211-AM211</f>
        <v>0</v>
      </c>
      <c r="AO211" s="63"/>
      <c r="AP211" s="76">
        <v>0</v>
      </c>
      <c r="AQ211" s="75">
        <f>AC211-AP211</f>
        <v>0</v>
      </c>
      <c r="AR211" s="63"/>
      <c r="AS211" s="63"/>
      <c r="AT211" s="63"/>
      <c r="AU211" s="63"/>
    </row>
    <row r="212" spans="1:47" ht="12.75" customHeight="1">
      <c r="A212" s="129" t="s">
        <v>428</v>
      </c>
      <c r="B212" s="121"/>
      <c r="C212" s="121"/>
      <c r="D212" s="125">
        <f>-D273</f>
        <v>259</v>
      </c>
      <c r="E212" s="125">
        <f t="shared" si="189"/>
        <v>0</v>
      </c>
      <c r="F212" s="125">
        <f t="shared" si="189"/>
        <v>0</v>
      </c>
      <c r="G212" s="125">
        <f t="shared" si="189"/>
        <v>0</v>
      </c>
      <c r="H212" s="125">
        <f t="shared" si="189"/>
        <v>0</v>
      </c>
      <c r="I212" s="125">
        <f t="shared" si="189"/>
        <v>2800</v>
      </c>
      <c r="J212" s="125">
        <f t="shared" si="189"/>
        <v>17702</v>
      </c>
      <c r="K212" s="125">
        <f t="shared" si="189"/>
        <v>0</v>
      </c>
      <c r="L212" s="125">
        <f t="shared" si="189"/>
        <v>0</v>
      </c>
      <c r="M212" s="125">
        <f t="shared" si="189"/>
        <v>0</v>
      </c>
      <c r="N212" s="125">
        <f t="shared" si="189"/>
        <v>0</v>
      </c>
      <c r="O212" s="125">
        <f t="shared" si="189"/>
        <v>0</v>
      </c>
      <c r="P212" s="75">
        <f>SUM(D212:O212)</f>
        <v>20761</v>
      </c>
      <c r="Q212" s="76">
        <f>SUM(D212:J212)</f>
        <v>20761</v>
      </c>
      <c r="R212" s="75">
        <f>P212-Q212</f>
        <v>0</v>
      </c>
      <c r="S212" s="84"/>
      <c r="T212" s="76">
        <v>0</v>
      </c>
      <c r="U212" s="76">
        <v>0</v>
      </c>
      <c r="V212" s="75">
        <f>T212-U212</f>
        <v>0</v>
      </c>
      <c r="W212" s="63"/>
      <c r="X212" s="63"/>
      <c r="Y212" s="63"/>
      <c r="Z212" s="63"/>
      <c r="AA212" s="63" t="str">
        <f>A212</f>
        <v xml:space="preserve">          Retirements at Cost</v>
      </c>
      <c r="AB212" s="108">
        <f>P212</f>
        <v>20761</v>
      </c>
      <c r="AC212" s="76">
        <f>SUM(D212:L212)</f>
        <v>20761</v>
      </c>
      <c r="AD212" s="75">
        <f>AB212-AC212</f>
        <v>0</v>
      </c>
      <c r="AE212" s="63"/>
      <c r="AF212" s="75">
        <f t="shared" si="190"/>
        <v>0</v>
      </c>
      <c r="AG212" s="75">
        <f t="shared" si="190"/>
        <v>0</v>
      </c>
      <c r="AH212" s="75">
        <f>AF212-AG212</f>
        <v>0</v>
      </c>
      <c r="AI212" s="63"/>
      <c r="AJ212" s="75">
        <f>AC212-AG212</f>
        <v>20761</v>
      </c>
      <c r="AK212" s="75">
        <f>AB212-AF212</f>
        <v>20761</v>
      </c>
      <c r="AL212" s="63"/>
      <c r="AM212" s="76">
        <v>3059</v>
      </c>
      <c r="AN212" s="75">
        <f>AB212-AM212</f>
        <v>17702</v>
      </c>
      <c r="AO212" s="63"/>
      <c r="AP212" s="76">
        <v>3059</v>
      </c>
      <c r="AQ212" s="75">
        <f>AC212-AP212</f>
        <v>17702</v>
      </c>
      <c r="AR212" s="63"/>
      <c r="AS212" s="63"/>
      <c r="AT212" s="63"/>
      <c r="AU212" s="63"/>
    </row>
    <row r="213" spans="1:47" ht="3.95" customHeight="1">
      <c r="A213" s="129"/>
      <c r="B213" s="121"/>
      <c r="C213" s="121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63"/>
      <c r="W213" s="63"/>
      <c r="X213" s="63"/>
      <c r="Y213" s="63"/>
      <c r="Z213" s="63"/>
      <c r="AA213" s="60"/>
      <c r="AB213" s="63"/>
      <c r="AC213" s="63"/>
      <c r="AD213" s="63"/>
      <c r="AE213" s="63"/>
      <c r="AF213" s="63"/>
      <c r="AG213" s="84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</row>
    <row r="214" spans="1:47" ht="12.75" customHeight="1">
      <c r="A214" s="124" t="s">
        <v>429</v>
      </c>
      <c r="B214" s="121"/>
      <c r="C214" s="121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63"/>
      <c r="W214" s="63"/>
      <c r="X214" s="63"/>
      <c r="Y214" s="63"/>
      <c r="Z214" s="63"/>
      <c r="AA214" s="63" t="str">
        <f>A214</f>
        <v xml:space="preserve">      Accumulated Depreciation</v>
      </c>
      <c r="AB214" s="63"/>
      <c r="AC214" s="63"/>
      <c r="AD214" s="63"/>
      <c r="AE214" s="63"/>
      <c r="AF214" s="63"/>
      <c r="AG214" s="84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</row>
    <row r="215" spans="1:47" ht="12.75" customHeight="1">
      <c r="A215" s="106" t="s">
        <v>591</v>
      </c>
      <c r="B215" s="121"/>
      <c r="C215" s="121"/>
      <c r="D215" s="125">
        <f t="shared" ref="D215:O215" si="191">D284</f>
        <v>-23</v>
      </c>
      <c r="E215" s="125">
        <f t="shared" si="191"/>
        <v>22</v>
      </c>
      <c r="F215" s="125">
        <f t="shared" si="191"/>
        <v>-25</v>
      </c>
      <c r="G215" s="125">
        <f t="shared" si="191"/>
        <v>-72</v>
      </c>
      <c r="H215" s="125">
        <f t="shared" si="191"/>
        <v>-27</v>
      </c>
      <c r="I215" s="125">
        <f t="shared" si="191"/>
        <v>-27</v>
      </c>
      <c r="J215" s="125">
        <f t="shared" si="191"/>
        <v>-27</v>
      </c>
      <c r="K215" s="125">
        <f t="shared" si="191"/>
        <v>-27</v>
      </c>
      <c r="L215" s="125">
        <f t="shared" si="191"/>
        <v>-27</v>
      </c>
      <c r="M215" s="125">
        <f t="shared" si="191"/>
        <v>-27</v>
      </c>
      <c r="N215" s="125">
        <f t="shared" si="191"/>
        <v>-27</v>
      </c>
      <c r="O215" s="125">
        <f t="shared" si="191"/>
        <v>-27</v>
      </c>
      <c r="P215" s="75">
        <f>SUM(D215:O215)</f>
        <v>-314</v>
      </c>
      <c r="Q215" s="76">
        <f>SUM(D215:J215)</f>
        <v>-179</v>
      </c>
      <c r="R215" s="75">
        <f>P215-Q215</f>
        <v>-135</v>
      </c>
      <c r="S215" s="84"/>
      <c r="T215" s="76">
        <v>-288</v>
      </c>
      <c r="U215" s="76">
        <v>-216</v>
      </c>
      <c r="V215" s="75">
        <f>T215-U215</f>
        <v>-72</v>
      </c>
      <c r="W215" s="63"/>
      <c r="X215" s="63"/>
      <c r="Y215" s="63"/>
      <c r="Z215" s="63"/>
      <c r="AA215" s="63" t="str">
        <f>A215</f>
        <v xml:space="preserve">          Reserve Adj. / Pipe Recoating</v>
      </c>
      <c r="AB215" s="108">
        <f>P215</f>
        <v>-314</v>
      </c>
      <c r="AC215" s="76">
        <f>SUM(D215:L215)</f>
        <v>-233</v>
      </c>
      <c r="AD215" s="75">
        <f>AB215-AC215</f>
        <v>-81</v>
      </c>
      <c r="AE215" s="63"/>
      <c r="AF215" s="75">
        <f>T215</f>
        <v>-288</v>
      </c>
      <c r="AG215" s="75">
        <f>U215</f>
        <v>-216</v>
      </c>
      <c r="AH215" s="75">
        <f>AF215-AG215</f>
        <v>-72</v>
      </c>
      <c r="AI215" s="63"/>
      <c r="AJ215" s="75">
        <f>AC215-AG215</f>
        <v>-17</v>
      </c>
      <c r="AK215" s="75">
        <f>AB215-AF215</f>
        <v>-26</v>
      </c>
      <c r="AL215" s="63"/>
      <c r="AM215" s="76">
        <v>-287</v>
      </c>
      <c r="AN215" s="75">
        <f>AB215-AM215</f>
        <v>-27</v>
      </c>
      <c r="AO215" s="63"/>
      <c r="AP215" s="76">
        <v>-220</v>
      </c>
      <c r="AQ215" s="75">
        <f>AC215-AP215</f>
        <v>-13</v>
      </c>
      <c r="AR215" s="63"/>
      <c r="AS215" s="63"/>
      <c r="AT215" s="63"/>
      <c r="AU215" s="63"/>
    </row>
    <row r="216" spans="1:47" ht="12.75" customHeight="1">
      <c r="A216" s="106" t="s">
        <v>592</v>
      </c>
      <c r="B216" s="121"/>
      <c r="C216" s="121"/>
      <c r="D216" s="125">
        <f t="shared" ref="D216:O216" si="192">D286</f>
        <v>8</v>
      </c>
      <c r="E216" s="125">
        <f t="shared" si="192"/>
        <v>0</v>
      </c>
      <c r="F216" s="125">
        <f t="shared" si="192"/>
        <v>0</v>
      </c>
      <c r="G216" s="125">
        <f t="shared" si="192"/>
        <v>0</v>
      </c>
      <c r="H216" s="125">
        <f t="shared" si="192"/>
        <v>0</v>
      </c>
      <c r="I216" s="125">
        <f t="shared" si="192"/>
        <v>0</v>
      </c>
      <c r="J216" s="125">
        <f t="shared" si="192"/>
        <v>-17703</v>
      </c>
      <c r="K216" s="125">
        <f t="shared" si="192"/>
        <v>0</v>
      </c>
      <c r="L216" s="125">
        <f t="shared" si="192"/>
        <v>0</v>
      </c>
      <c r="M216" s="125">
        <f t="shared" si="192"/>
        <v>0</v>
      </c>
      <c r="N216" s="125">
        <f t="shared" si="192"/>
        <v>0</v>
      </c>
      <c r="O216" s="125">
        <f t="shared" si="192"/>
        <v>0</v>
      </c>
      <c r="P216" s="75">
        <f>SUM(D216:O216)</f>
        <v>-17695</v>
      </c>
      <c r="Q216" s="76">
        <f>SUM(D216:J216)</f>
        <v>-17695</v>
      </c>
      <c r="R216" s="75">
        <f>P216-Q216</f>
        <v>0</v>
      </c>
      <c r="S216" s="84"/>
      <c r="T216" s="76">
        <v>-2400</v>
      </c>
      <c r="U216" s="76">
        <v>-2400</v>
      </c>
      <c r="V216" s="75">
        <f>T216-U216</f>
        <v>0</v>
      </c>
      <c r="W216" s="63"/>
      <c r="X216" s="63"/>
      <c r="Y216" s="63"/>
      <c r="Z216" s="63"/>
      <c r="AA216" s="63" t="str">
        <f>A216</f>
        <v xml:space="preserve">          Retirement of Reserves</v>
      </c>
      <c r="AB216" s="108">
        <f>P216</f>
        <v>-17695</v>
      </c>
      <c r="AC216" s="76">
        <f>SUM(D216:L216)</f>
        <v>-17695</v>
      </c>
      <c r="AD216" s="75">
        <f>AB216-AC216</f>
        <v>0</v>
      </c>
      <c r="AE216" s="63"/>
      <c r="AF216" s="75">
        <f>T216</f>
        <v>-2400</v>
      </c>
      <c r="AG216" s="75">
        <f>U216</f>
        <v>-2400</v>
      </c>
      <c r="AH216" s="75">
        <f>AF216-AG216</f>
        <v>0</v>
      </c>
      <c r="AI216" s="63"/>
      <c r="AJ216" s="75">
        <f>AC216-AG216</f>
        <v>-15295</v>
      </c>
      <c r="AK216" s="75">
        <f>AB216-AF216</f>
        <v>-15295</v>
      </c>
      <c r="AL216" s="63"/>
      <c r="AM216" s="76">
        <v>-4592</v>
      </c>
      <c r="AN216" s="75">
        <f>AB216-AM216</f>
        <v>-13103</v>
      </c>
      <c r="AO216" s="63"/>
      <c r="AP216" s="76">
        <v>-2792</v>
      </c>
      <c r="AQ216" s="75">
        <f>AC216-AP216</f>
        <v>-14903</v>
      </c>
      <c r="AR216" s="63"/>
      <c r="AS216" s="63"/>
      <c r="AT216" s="63"/>
      <c r="AU216" s="63"/>
    </row>
    <row r="217" spans="1:47" ht="3.95" customHeight="1">
      <c r="A217" s="129"/>
      <c r="B217" s="121"/>
      <c r="C217" s="121"/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84"/>
      <c r="Q217" s="84"/>
      <c r="R217" s="84"/>
      <c r="S217" s="84"/>
      <c r="T217" s="84"/>
      <c r="U217" s="84"/>
      <c r="V217" s="63"/>
      <c r="W217" s="63"/>
      <c r="X217" s="63"/>
      <c r="Y217" s="63"/>
      <c r="Z217" s="63"/>
      <c r="AA217" s="60"/>
      <c r="AB217" s="63"/>
      <c r="AC217" s="63"/>
      <c r="AD217" s="63"/>
      <c r="AE217" s="63"/>
      <c r="AF217" s="63"/>
      <c r="AG217" s="84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</row>
    <row r="218" spans="1:47" ht="12.75" customHeight="1">
      <c r="A218" s="106" t="s">
        <v>430</v>
      </c>
      <c r="B218" s="121"/>
      <c r="C218" s="121"/>
      <c r="D218" s="183">
        <v>0</v>
      </c>
      <c r="E218" s="183">
        <v>0</v>
      </c>
      <c r="F218" s="183">
        <v>0</v>
      </c>
      <c r="G218" s="183">
        <v>0</v>
      </c>
      <c r="H218" s="183">
        <v>0</v>
      </c>
      <c r="I218" s="183">
        <v>0</v>
      </c>
      <c r="J218" s="183">
        <v>0</v>
      </c>
      <c r="K218" s="183">
        <v>0</v>
      </c>
      <c r="L218" s="183">
        <v>0</v>
      </c>
      <c r="M218" s="183">
        <v>0</v>
      </c>
      <c r="N218" s="183">
        <v>0</v>
      </c>
      <c r="O218" s="183">
        <v>0</v>
      </c>
      <c r="P218" s="80">
        <f>SUM(D218:O218)</f>
        <v>0</v>
      </c>
      <c r="Q218" s="99">
        <f>SUM(D218:J218)</f>
        <v>0</v>
      </c>
      <c r="R218" s="80">
        <f>P218-Q218</f>
        <v>0</v>
      </c>
      <c r="S218" s="127"/>
      <c r="T218" s="99">
        <v>0</v>
      </c>
      <c r="U218" s="99">
        <v>0</v>
      </c>
      <c r="V218" s="80">
        <f>T218-U218</f>
        <v>0</v>
      </c>
      <c r="W218" s="63"/>
      <c r="X218" s="63"/>
      <c r="Y218" s="63"/>
      <c r="Z218" s="63"/>
      <c r="AA218" s="63" t="str">
        <f>A218</f>
        <v xml:space="preserve">      Other (Was Ardmore Capitalization 3/95)</v>
      </c>
      <c r="AB218" s="109">
        <f>P218</f>
        <v>0</v>
      </c>
      <c r="AC218" s="99">
        <f>SUM(D218:L218)</f>
        <v>0</v>
      </c>
      <c r="AD218" s="80">
        <f>AB218-AC218</f>
        <v>0</v>
      </c>
      <c r="AE218" s="63"/>
      <c r="AF218" s="80">
        <f>T218</f>
        <v>0</v>
      </c>
      <c r="AG218" s="80">
        <f>U218</f>
        <v>0</v>
      </c>
      <c r="AH218" s="80">
        <f>AF218-AG218</f>
        <v>0</v>
      </c>
      <c r="AI218" s="63"/>
      <c r="AJ218" s="80">
        <f>AC218-AG218</f>
        <v>0</v>
      </c>
      <c r="AK218" s="80">
        <f>AB218-AF218</f>
        <v>0</v>
      </c>
      <c r="AL218" s="63"/>
      <c r="AM218" s="99">
        <v>0</v>
      </c>
      <c r="AN218" s="80">
        <f>AB218-AM218</f>
        <v>0</v>
      </c>
      <c r="AO218" s="81"/>
      <c r="AP218" s="99">
        <v>0</v>
      </c>
      <c r="AQ218" s="80">
        <f>AC218-AP218</f>
        <v>0</v>
      </c>
      <c r="AR218" s="63"/>
      <c r="AS218" s="63"/>
      <c r="AT218" s="63"/>
      <c r="AU218" s="63"/>
    </row>
    <row r="219" spans="1:47" ht="3.95" customHeight="1">
      <c r="A219" s="129"/>
      <c r="B219" s="121"/>
      <c r="C219" s="121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84"/>
      <c r="Q219" s="84"/>
      <c r="R219" s="84"/>
      <c r="S219" s="84"/>
      <c r="T219" s="84"/>
      <c r="U219" s="84"/>
      <c r="V219" s="63"/>
      <c r="W219" s="63"/>
      <c r="X219" s="63"/>
      <c r="Y219" s="63"/>
      <c r="Z219" s="63"/>
      <c r="AA219" s="60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</row>
    <row r="220" spans="1:47" ht="12.75" customHeight="1">
      <c r="A220" s="124" t="s">
        <v>431</v>
      </c>
      <c r="B220" s="121"/>
      <c r="C220" s="121"/>
      <c r="D220" s="126">
        <f t="shared" ref="D220:R220" si="193">SUM(D201:D218)</f>
        <v>1002</v>
      </c>
      <c r="E220" s="126">
        <f t="shared" si="193"/>
        <v>-1602</v>
      </c>
      <c r="F220" s="126">
        <f t="shared" si="193"/>
        <v>865</v>
      </c>
      <c r="G220" s="126">
        <f t="shared" si="193"/>
        <v>-285</v>
      </c>
      <c r="H220" s="126">
        <f t="shared" si="193"/>
        <v>-262</v>
      </c>
      <c r="I220" s="126">
        <f t="shared" si="193"/>
        <v>2091</v>
      </c>
      <c r="J220" s="126">
        <f t="shared" si="193"/>
        <v>-729</v>
      </c>
      <c r="K220" s="126">
        <f t="shared" si="193"/>
        <v>-29</v>
      </c>
      <c r="L220" s="126">
        <f t="shared" si="193"/>
        <v>-26</v>
      </c>
      <c r="M220" s="126">
        <f t="shared" si="193"/>
        <v>60</v>
      </c>
      <c r="N220" s="126">
        <f t="shared" si="193"/>
        <v>44</v>
      </c>
      <c r="O220" s="126">
        <f t="shared" si="193"/>
        <v>-245</v>
      </c>
      <c r="P220" s="126">
        <f t="shared" si="193"/>
        <v>884</v>
      </c>
      <c r="Q220" s="126">
        <f t="shared" si="193"/>
        <v>1080</v>
      </c>
      <c r="R220" s="126">
        <f t="shared" si="193"/>
        <v>-196</v>
      </c>
      <c r="S220" s="84"/>
      <c r="T220" s="126">
        <f>SUM(T201:T218)</f>
        <v>-10439</v>
      </c>
      <c r="U220" s="126">
        <f>SUM(U201:U218)</f>
        <v>-8320</v>
      </c>
      <c r="V220" s="126">
        <f>SUM(V201:V218)</f>
        <v>-2119</v>
      </c>
      <c r="W220" s="63"/>
      <c r="X220" s="63"/>
      <c r="Y220" s="63"/>
      <c r="Z220" s="63"/>
      <c r="AA220" s="63" t="str">
        <f>A220</f>
        <v xml:space="preserve">         Subtotal (Cash Flow Model)</v>
      </c>
      <c r="AB220" s="126">
        <f>SUM(AB201:AB218)</f>
        <v>884</v>
      </c>
      <c r="AC220" s="126">
        <f>SUM(AC201:AC218)</f>
        <v>1025</v>
      </c>
      <c r="AD220" s="126">
        <f>SUM(AD201:AD218)</f>
        <v>-141</v>
      </c>
      <c r="AE220" s="63"/>
      <c r="AF220" s="126">
        <f>SUM(AF201:AF218)</f>
        <v>-10439</v>
      </c>
      <c r="AG220" s="126">
        <f>SUM(AG201:AG218)</f>
        <v>-8320</v>
      </c>
      <c r="AH220" s="126">
        <f>SUM(AH201:AH218)</f>
        <v>-2119</v>
      </c>
      <c r="AI220" s="63"/>
      <c r="AJ220" s="126">
        <f>SUM(AJ201:AJ218)</f>
        <v>9345</v>
      </c>
      <c r="AK220" s="126">
        <f>SUM(AK201:AK218)</f>
        <v>11323</v>
      </c>
      <c r="AL220" s="63"/>
      <c r="AM220" s="126">
        <f>SUM(AM201:AM218)</f>
        <v>-3187</v>
      </c>
      <c r="AN220" s="126">
        <f>SUM(AN201:AN218)</f>
        <v>4071</v>
      </c>
      <c r="AO220" s="63"/>
      <c r="AP220" s="126">
        <f>SUM(AP201:AP218)</f>
        <v>-1160</v>
      </c>
      <c r="AQ220" s="126">
        <f>SUM(AQ201:AQ218)</f>
        <v>2185</v>
      </c>
      <c r="AR220" s="63"/>
      <c r="AS220" s="63"/>
      <c r="AT220" s="63"/>
      <c r="AU220" s="63"/>
    </row>
    <row r="221" spans="1:47" ht="12.75" customHeight="1">
      <c r="A221" s="121"/>
      <c r="B221" s="121"/>
      <c r="C221" s="121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63"/>
      <c r="W221" s="63"/>
      <c r="X221" s="63"/>
      <c r="Y221" s="63"/>
      <c r="Z221" s="63"/>
      <c r="AA221" s="60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</row>
    <row r="222" spans="1:47" ht="12.75" customHeight="1">
      <c r="A222" s="130" t="s">
        <v>432</v>
      </c>
      <c r="B222" s="121"/>
      <c r="C222" s="121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63"/>
      <c r="W222" s="63"/>
      <c r="X222" s="63"/>
      <c r="Y222" s="63"/>
      <c r="Z222" s="63"/>
      <c r="AA222" s="63" t="str">
        <f t="shared" ref="AA222:AA237" si="194">A222</f>
        <v xml:space="preserve">   Other Tie Out Items (Financial Reporting)</v>
      </c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</row>
    <row r="223" spans="1:47" ht="12.75" customHeight="1">
      <c r="A223" s="100" t="s">
        <v>376</v>
      </c>
      <c r="B223" s="121"/>
      <c r="C223" s="121"/>
      <c r="D223" s="165">
        <f>D12</f>
        <v>0</v>
      </c>
      <c r="E223" s="165">
        <f t="shared" ref="E223:O223" si="195">E12</f>
        <v>0</v>
      </c>
      <c r="F223" s="165">
        <f t="shared" si="195"/>
        <v>0</v>
      </c>
      <c r="G223" s="165">
        <f t="shared" si="195"/>
        <v>0</v>
      </c>
      <c r="H223" s="165">
        <f t="shared" si="195"/>
        <v>0</v>
      </c>
      <c r="I223" s="165">
        <f t="shared" si="195"/>
        <v>0</v>
      </c>
      <c r="J223" s="165">
        <f t="shared" si="195"/>
        <v>0</v>
      </c>
      <c r="K223" s="165">
        <f t="shared" si="195"/>
        <v>0</v>
      </c>
      <c r="L223" s="165">
        <f t="shared" si="195"/>
        <v>0</v>
      </c>
      <c r="M223" s="165">
        <f t="shared" si="195"/>
        <v>0</v>
      </c>
      <c r="N223" s="165">
        <f t="shared" si="195"/>
        <v>0</v>
      </c>
      <c r="O223" s="165">
        <f t="shared" si="195"/>
        <v>0</v>
      </c>
      <c r="P223" s="75">
        <f t="shared" ref="P223:P231" si="196">SUM(D223:O223)</f>
        <v>0</v>
      </c>
      <c r="Q223" s="76">
        <f t="shared" ref="Q223:Q237" si="197">SUM(D223:J223)</f>
        <v>0</v>
      </c>
      <c r="R223" s="75">
        <f t="shared" ref="R223:R231" si="198">P223-Q223</f>
        <v>0</v>
      </c>
      <c r="S223" s="84"/>
      <c r="T223" s="76">
        <v>0</v>
      </c>
      <c r="U223" s="76">
        <v>0</v>
      </c>
      <c r="V223" s="75">
        <f t="shared" ref="V223:V231" si="199">T223-U223</f>
        <v>0</v>
      </c>
      <c r="W223" s="63"/>
      <c r="X223" s="63"/>
      <c r="Y223" s="63"/>
      <c r="Z223" s="63"/>
      <c r="AA223" s="63" t="str">
        <f t="shared" si="194"/>
        <v xml:space="preserve">      Amortization of Contract Reformation Costs</v>
      </c>
      <c r="AB223" s="108">
        <f t="shared" ref="AB223:AB237" si="200">P223</f>
        <v>0</v>
      </c>
      <c r="AC223" s="76">
        <f t="shared" ref="AC223:AC237" si="201">SUM(D223:L223)</f>
        <v>0</v>
      </c>
      <c r="AD223" s="75">
        <f t="shared" ref="AD223:AD231" si="202">AB223-AC223</f>
        <v>0</v>
      </c>
      <c r="AE223" s="63"/>
      <c r="AF223" s="75">
        <f t="shared" ref="AF223:AF237" si="203">T223</f>
        <v>0</v>
      </c>
      <c r="AG223" s="75">
        <f t="shared" ref="AG223:AG237" si="204">U223</f>
        <v>0</v>
      </c>
      <c r="AH223" s="75">
        <f t="shared" ref="AH223:AH231" si="205">AF223-AG223</f>
        <v>0</v>
      </c>
      <c r="AI223" s="63"/>
      <c r="AJ223" s="75">
        <f t="shared" ref="AJ223:AJ231" si="206">AC223-AG223</f>
        <v>0</v>
      </c>
      <c r="AK223" s="75">
        <f t="shared" ref="AK223:AK231" si="207">AB223-AF223</f>
        <v>0</v>
      </c>
      <c r="AL223" s="63"/>
      <c r="AM223" s="76">
        <v>0</v>
      </c>
      <c r="AN223" s="75">
        <f t="shared" ref="AN223:AN231" si="208">AB223-AM223</f>
        <v>0</v>
      </c>
      <c r="AO223" s="63"/>
      <c r="AP223" s="76">
        <v>0</v>
      </c>
      <c r="AQ223" s="75">
        <f t="shared" ref="AQ223:AQ231" si="209">AC223-AP223</f>
        <v>0</v>
      </c>
      <c r="AR223" s="63"/>
      <c r="AS223" s="63"/>
      <c r="AT223" s="63"/>
      <c r="AU223" s="63"/>
    </row>
    <row r="224" spans="1:47" ht="12.75" customHeight="1">
      <c r="A224" s="106" t="s">
        <v>621</v>
      </c>
      <c r="B224" s="121"/>
      <c r="C224" s="121"/>
      <c r="D224" s="125">
        <f>D362</f>
        <v>0</v>
      </c>
      <c r="E224" s="125">
        <f>E362</f>
        <v>0</v>
      </c>
      <c r="F224" s="125">
        <f t="shared" ref="F224:O224" si="210">F362</f>
        <v>0</v>
      </c>
      <c r="G224" s="125">
        <f t="shared" si="210"/>
        <v>0</v>
      </c>
      <c r="H224" s="125">
        <f t="shared" si="210"/>
        <v>0</v>
      </c>
      <c r="I224" s="125">
        <f t="shared" si="210"/>
        <v>0</v>
      </c>
      <c r="J224" s="125">
        <f t="shared" si="210"/>
        <v>0</v>
      </c>
      <c r="K224" s="125">
        <f t="shared" si="210"/>
        <v>0</v>
      </c>
      <c r="L224" s="125">
        <f t="shared" si="210"/>
        <v>0</v>
      </c>
      <c r="M224" s="125">
        <f t="shared" si="210"/>
        <v>0</v>
      </c>
      <c r="N224" s="125">
        <f t="shared" si="210"/>
        <v>0</v>
      </c>
      <c r="O224" s="125">
        <f t="shared" si="210"/>
        <v>0</v>
      </c>
      <c r="P224" s="75">
        <f t="shared" si="196"/>
        <v>0</v>
      </c>
      <c r="Q224" s="76">
        <f t="shared" si="197"/>
        <v>0</v>
      </c>
      <c r="R224" s="75">
        <f t="shared" si="198"/>
        <v>0</v>
      </c>
      <c r="S224" s="84"/>
      <c r="T224" s="76">
        <v>0</v>
      </c>
      <c r="U224" s="76">
        <v>0</v>
      </c>
      <c r="V224" s="75">
        <f t="shared" si="199"/>
        <v>0</v>
      </c>
      <c r="W224" s="63"/>
      <c r="X224" s="63"/>
      <c r="Y224" s="63"/>
      <c r="Z224" s="63"/>
      <c r="AA224" s="63" t="str">
        <f t="shared" si="194"/>
        <v xml:space="preserve">      FASB 133 - Comprehensive Income / (Loss) Tax Adjustment</v>
      </c>
      <c r="AB224" s="108">
        <f t="shared" si="200"/>
        <v>0</v>
      </c>
      <c r="AC224" s="76">
        <f t="shared" si="201"/>
        <v>0</v>
      </c>
      <c r="AD224" s="75">
        <f t="shared" si="202"/>
        <v>0</v>
      </c>
      <c r="AE224" s="63"/>
      <c r="AF224" s="75">
        <f t="shared" si="203"/>
        <v>0</v>
      </c>
      <c r="AG224" s="75">
        <f t="shared" si="204"/>
        <v>0</v>
      </c>
      <c r="AH224" s="75">
        <f t="shared" si="205"/>
        <v>0</v>
      </c>
      <c r="AI224" s="63"/>
      <c r="AJ224" s="75">
        <f t="shared" si="206"/>
        <v>0</v>
      </c>
      <c r="AK224" s="75">
        <f t="shared" si="207"/>
        <v>0</v>
      </c>
      <c r="AL224" s="63"/>
      <c r="AM224" s="76">
        <v>0</v>
      </c>
      <c r="AN224" s="75">
        <f t="shared" si="208"/>
        <v>0</v>
      </c>
      <c r="AO224" s="63"/>
      <c r="AP224" s="76">
        <v>0</v>
      </c>
      <c r="AQ224" s="75">
        <f t="shared" si="209"/>
        <v>0</v>
      </c>
      <c r="AR224" s="63"/>
      <c r="AS224" s="63"/>
      <c r="AT224" s="63"/>
      <c r="AU224" s="63"/>
    </row>
    <row r="225" spans="1:47" ht="12.75" customHeight="1">
      <c r="A225" s="106" t="s">
        <v>607</v>
      </c>
      <c r="B225" s="121"/>
      <c r="C225" s="121"/>
      <c r="D225" s="133">
        <v>0</v>
      </c>
      <c r="E225" s="133">
        <v>0</v>
      </c>
      <c r="F225" s="133">
        <f>-4967-10</f>
        <v>-4977</v>
      </c>
      <c r="G225" s="133">
        <v>0</v>
      </c>
      <c r="H225" s="133">
        <v>0</v>
      </c>
      <c r="I225" s="133">
        <v>0</v>
      </c>
      <c r="J225" s="133">
        <v>0</v>
      </c>
      <c r="K225" s="133">
        <v>0</v>
      </c>
      <c r="L225" s="133">
        <v>0</v>
      </c>
      <c r="M225" s="133">
        <v>0</v>
      </c>
      <c r="N225" s="133">
        <v>0</v>
      </c>
      <c r="O225" s="133">
        <v>0</v>
      </c>
      <c r="P225" s="75">
        <f>SUM(D225:O225)</f>
        <v>-4977</v>
      </c>
      <c r="Q225" s="76">
        <f t="shared" si="197"/>
        <v>-4977</v>
      </c>
      <c r="R225" s="75">
        <f>P225-Q225</f>
        <v>0</v>
      </c>
      <c r="S225" s="84"/>
      <c r="T225" s="76">
        <v>0</v>
      </c>
      <c r="U225" s="76">
        <v>0</v>
      </c>
      <c r="V225" s="75">
        <f>T225-U225</f>
        <v>0</v>
      </c>
      <c r="W225" s="63"/>
      <c r="X225" s="63"/>
      <c r="Y225" s="63"/>
      <c r="Z225" s="63"/>
      <c r="AA225" s="63" t="str">
        <f>A225</f>
        <v xml:space="preserve">      Overthrust Removal (Net Income Offset Adjustment)</v>
      </c>
      <c r="AB225" s="108">
        <f>P225</f>
        <v>-4977</v>
      </c>
      <c r="AC225" s="76">
        <f t="shared" si="201"/>
        <v>-4977</v>
      </c>
      <c r="AD225" s="75">
        <f>AB225-AC225</f>
        <v>0</v>
      </c>
      <c r="AE225" s="63"/>
      <c r="AF225" s="75">
        <f t="shared" ref="AF225:AG227" si="211">T225</f>
        <v>0</v>
      </c>
      <c r="AG225" s="75">
        <f t="shared" si="211"/>
        <v>0</v>
      </c>
      <c r="AH225" s="75">
        <f>AF225-AG225</f>
        <v>0</v>
      </c>
      <c r="AI225" s="63"/>
      <c r="AJ225" s="75">
        <f>AC225-AG225</f>
        <v>-4977</v>
      </c>
      <c r="AK225" s="75">
        <f>AB225-AF225</f>
        <v>-4977</v>
      </c>
      <c r="AL225" s="63"/>
      <c r="AM225" s="76">
        <v>-4977</v>
      </c>
      <c r="AN225" s="75">
        <f>AB225-AM225</f>
        <v>0</v>
      </c>
      <c r="AO225" s="63"/>
      <c r="AP225" s="76">
        <v>-4977</v>
      </c>
      <c r="AQ225" s="75">
        <f>AC225-AP225</f>
        <v>0</v>
      </c>
      <c r="AR225" s="63"/>
      <c r="AS225" s="63"/>
      <c r="AT225" s="63"/>
      <c r="AU225" s="63"/>
    </row>
    <row r="226" spans="1:47" ht="12.75" customHeight="1">
      <c r="A226" s="106" t="s">
        <v>608</v>
      </c>
      <c r="B226" s="121"/>
      <c r="C226" s="121"/>
      <c r="D226" s="133">
        <v>0</v>
      </c>
      <c r="E226" s="133">
        <v>0</v>
      </c>
      <c r="F226" s="133">
        <v>-65</v>
      </c>
      <c r="G226" s="133">
        <v>0</v>
      </c>
      <c r="H226" s="133">
        <v>0</v>
      </c>
      <c r="I226" s="133">
        <v>0</v>
      </c>
      <c r="J226" s="133">
        <v>0</v>
      </c>
      <c r="K226" s="133">
        <v>0</v>
      </c>
      <c r="L226" s="133">
        <v>0</v>
      </c>
      <c r="M226" s="133">
        <v>0</v>
      </c>
      <c r="N226" s="133">
        <v>0</v>
      </c>
      <c r="O226" s="133">
        <v>0</v>
      </c>
      <c r="P226" s="75">
        <f>SUM(D226:O226)</f>
        <v>-65</v>
      </c>
      <c r="Q226" s="76">
        <f t="shared" si="197"/>
        <v>-65</v>
      </c>
      <c r="R226" s="75">
        <f>P226-Q226</f>
        <v>0</v>
      </c>
      <c r="S226" s="84"/>
      <c r="T226" s="76">
        <v>0</v>
      </c>
      <c r="U226" s="76">
        <v>0</v>
      </c>
      <c r="V226" s="75">
        <f>T226-U226</f>
        <v>0</v>
      </c>
      <c r="W226" s="63"/>
      <c r="X226" s="63"/>
      <c r="Y226" s="63"/>
      <c r="Z226" s="63"/>
      <c r="AA226" s="63" t="str">
        <f>A226</f>
        <v xml:space="preserve">      Overthrust Removal (Deferred Taxes Adjustment)</v>
      </c>
      <c r="AB226" s="108">
        <f>P226</f>
        <v>-65</v>
      </c>
      <c r="AC226" s="76">
        <f t="shared" si="201"/>
        <v>-65</v>
      </c>
      <c r="AD226" s="75">
        <f>AB226-AC226</f>
        <v>0</v>
      </c>
      <c r="AE226" s="63"/>
      <c r="AF226" s="75">
        <f t="shared" si="211"/>
        <v>0</v>
      </c>
      <c r="AG226" s="75">
        <f t="shared" si="211"/>
        <v>0</v>
      </c>
      <c r="AH226" s="75">
        <f>AF226-AG226</f>
        <v>0</v>
      </c>
      <c r="AI226" s="63"/>
      <c r="AJ226" s="75">
        <f>AC226-AG226</f>
        <v>-65</v>
      </c>
      <c r="AK226" s="75">
        <f>AB226-AF226</f>
        <v>-65</v>
      </c>
      <c r="AL226" s="63"/>
      <c r="AM226" s="76">
        <v>-65</v>
      </c>
      <c r="AN226" s="75">
        <f>AB226-AM226</f>
        <v>0</v>
      </c>
      <c r="AO226" s="63"/>
      <c r="AP226" s="76">
        <v>-65</v>
      </c>
      <c r="AQ226" s="75">
        <f>AC226-AP226</f>
        <v>0</v>
      </c>
      <c r="AR226" s="63"/>
      <c r="AS226" s="63"/>
      <c r="AT226" s="63"/>
      <c r="AU226" s="63"/>
    </row>
    <row r="227" spans="1:47" ht="12.75" customHeight="1">
      <c r="A227" s="106" t="s">
        <v>622</v>
      </c>
      <c r="B227" s="121"/>
      <c r="C227" s="121"/>
      <c r="D227" s="133">
        <v>0</v>
      </c>
      <c r="E227" s="133">
        <v>0</v>
      </c>
      <c r="F227" s="133">
        <v>0</v>
      </c>
      <c r="G227" s="133">
        <v>0</v>
      </c>
      <c r="H227" s="133">
        <v>117</v>
      </c>
      <c r="I227" s="133">
        <v>0</v>
      </c>
      <c r="J227" s="133">
        <v>0</v>
      </c>
      <c r="K227" s="133">
        <v>0</v>
      </c>
      <c r="L227" s="133">
        <v>0</v>
      </c>
      <c r="M227" s="133">
        <v>0</v>
      </c>
      <c r="N227" s="133">
        <v>0</v>
      </c>
      <c r="O227" s="133">
        <v>0</v>
      </c>
      <c r="P227" s="75">
        <f>SUM(D227:O227)</f>
        <v>117</v>
      </c>
      <c r="Q227" s="76">
        <f t="shared" si="197"/>
        <v>117</v>
      </c>
      <c r="R227" s="75">
        <f>P227-Q227</f>
        <v>0</v>
      </c>
      <c r="S227" s="84"/>
      <c r="T227" s="76">
        <v>0</v>
      </c>
      <c r="U227" s="76">
        <v>0</v>
      </c>
      <c r="V227" s="75">
        <f>T227-U227</f>
        <v>0</v>
      </c>
      <c r="W227" s="63"/>
      <c r="X227" s="63"/>
      <c r="Y227" s="63"/>
      <c r="Z227" s="63"/>
      <c r="AA227" s="63" t="str">
        <f>A227</f>
        <v xml:space="preserve">      Property Summary - GR/IR Clearing</v>
      </c>
      <c r="AB227" s="108">
        <f>P227</f>
        <v>117</v>
      </c>
      <c r="AC227" s="76">
        <f t="shared" si="201"/>
        <v>117</v>
      </c>
      <c r="AD227" s="75">
        <f>AB227-AC227</f>
        <v>0</v>
      </c>
      <c r="AE227" s="63"/>
      <c r="AF227" s="75">
        <f t="shared" si="211"/>
        <v>0</v>
      </c>
      <c r="AG227" s="75">
        <f t="shared" si="211"/>
        <v>0</v>
      </c>
      <c r="AH227" s="75">
        <f>AF227-AG227</f>
        <v>0</v>
      </c>
      <c r="AI227" s="63"/>
      <c r="AJ227" s="75">
        <f>AC227-AG227</f>
        <v>117</v>
      </c>
      <c r="AK227" s="75">
        <f>AB227-AF227</f>
        <v>117</v>
      </c>
      <c r="AL227" s="63"/>
      <c r="AM227" s="76">
        <v>117</v>
      </c>
      <c r="AN227" s="75">
        <f>AB227-AM227</f>
        <v>0</v>
      </c>
      <c r="AO227" s="63"/>
      <c r="AP227" s="76">
        <v>117</v>
      </c>
      <c r="AQ227" s="75">
        <f>AC227-AP227</f>
        <v>0</v>
      </c>
      <c r="AR227" s="63"/>
      <c r="AS227" s="63"/>
      <c r="AT227" s="63"/>
      <c r="AU227" s="63"/>
    </row>
    <row r="228" spans="1:47" ht="12.75" customHeight="1">
      <c r="A228" s="106" t="s">
        <v>532</v>
      </c>
      <c r="B228" s="121"/>
      <c r="C228" s="121"/>
      <c r="D228" s="133">
        <v>0</v>
      </c>
      <c r="E228" s="133">
        <v>0</v>
      </c>
      <c r="F228" s="133">
        <v>0</v>
      </c>
      <c r="G228" s="133">
        <v>0</v>
      </c>
      <c r="H228" s="133">
        <v>0</v>
      </c>
      <c r="I228" s="133">
        <v>0</v>
      </c>
      <c r="J228" s="133">
        <v>0</v>
      </c>
      <c r="K228" s="133">
        <v>0</v>
      </c>
      <c r="L228" s="133">
        <v>0</v>
      </c>
      <c r="M228" s="133">
        <v>0</v>
      </c>
      <c r="N228" s="133">
        <v>0</v>
      </c>
      <c r="O228" s="133">
        <v>0</v>
      </c>
      <c r="P228" s="75">
        <f t="shared" si="196"/>
        <v>0</v>
      </c>
      <c r="Q228" s="76">
        <f t="shared" si="197"/>
        <v>0</v>
      </c>
      <c r="R228" s="75">
        <f t="shared" si="198"/>
        <v>0</v>
      </c>
      <c r="S228" s="84"/>
      <c r="T228" s="76">
        <v>0</v>
      </c>
      <c r="U228" s="76">
        <v>0</v>
      </c>
      <c r="V228" s="75">
        <f t="shared" si="199"/>
        <v>0</v>
      </c>
      <c r="W228" s="63"/>
      <c r="X228" s="63"/>
      <c r="Y228" s="63"/>
      <c r="Z228" s="63"/>
      <c r="AA228" s="63" t="str">
        <f t="shared" si="194"/>
        <v xml:space="preserve">      Other</v>
      </c>
      <c r="AB228" s="108">
        <f t="shared" si="200"/>
        <v>0</v>
      </c>
      <c r="AC228" s="76">
        <f t="shared" si="201"/>
        <v>0</v>
      </c>
      <c r="AD228" s="75">
        <f t="shared" si="202"/>
        <v>0</v>
      </c>
      <c r="AE228" s="63"/>
      <c r="AF228" s="75">
        <f t="shared" si="203"/>
        <v>0</v>
      </c>
      <c r="AG228" s="75">
        <f t="shared" si="204"/>
        <v>0</v>
      </c>
      <c r="AH228" s="75">
        <f t="shared" si="205"/>
        <v>0</v>
      </c>
      <c r="AI228" s="63"/>
      <c r="AJ228" s="75">
        <f t="shared" si="206"/>
        <v>0</v>
      </c>
      <c r="AK228" s="75">
        <f t="shared" si="207"/>
        <v>0</v>
      </c>
      <c r="AL228" s="63"/>
      <c r="AM228" s="76">
        <v>0</v>
      </c>
      <c r="AN228" s="75">
        <f t="shared" si="208"/>
        <v>0</v>
      </c>
      <c r="AO228" s="63"/>
      <c r="AP228" s="76">
        <v>0</v>
      </c>
      <c r="AQ228" s="75">
        <f t="shared" si="209"/>
        <v>0</v>
      </c>
      <c r="AR228" s="63"/>
      <c r="AS228" s="63"/>
      <c r="AT228" s="63"/>
      <c r="AU228" s="63"/>
    </row>
    <row r="229" spans="1:47" ht="12.75" customHeight="1">
      <c r="A229" s="106" t="s">
        <v>433</v>
      </c>
      <c r="B229" s="121"/>
      <c r="C229" s="121"/>
      <c r="D229" s="133">
        <v>-267</v>
      </c>
      <c r="E229" s="133">
        <v>259</v>
      </c>
      <c r="F229" s="133">
        <v>8</v>
      </c>
      <c r="G229" s="133">
        <v>0</v>
      </c>
      <c r="H229" s="133">
        <v>0</v>
      </c>
      <c r="I229" s="133">
        <v>553</v>
      </c>
      <c r="J229" s="133">
        <v>0</v>
      </c>
      <c r="K229" s="133">
        <v>0</v>
      </c>
      <c r="L229" s="133">
        <v>0</v>
      </c>
      <c r="M229" s="133">
        <v>0</v>
      </c>
      <c r="N229" s="133">
        <v>0</v>
      </c>
      <c r="O229" s="228">
        <v>2300</v>
      </c>
      <c r="P229" s="75">
        <f t="shared" si="196"/>
        <v>2853</v>
      </c>
      <c r="Q229" s="76">
        <f t="shared" si="197"/>
        <v>553</v>
      </c>
      <c r="R229" s="75">
        <f t="shared" si="198"/>
        <v>2300</v>
      </c>
      <c r="S229" s="84"/>
      <c r="T229" s="76">
        <v>9900</v>
      </c>
      <c r="U229" s="76">
        <v>9900</v>
      </c>
      <c r="V229" s="75">
        <f t="shared" si="199"/>
        <v>0</v>
      </c>
      <c r="W229" s="63"/>
      <c r="X229" s="63"/>
      <c r="Y229" s="63"/>
      <c r="Z229" s="63"/>
      <c r="AA229" s="63" t="str">
        <f t="shared" si="194"/>
        <v xml:space="preserve">      Gain / (Loss) Offset - Various Property Sales</v>
      </c>
      <c r="AB229" s="108">
        <f t="shared" si="200"/>
        <v>2853</v>
      </c>
      <c r="AC229" s="76">
        <f t="shared" si="201"/>
        <v>553</v>
      </c>
      <c r="AD229" s="75">
        <f t="shared" si="202"/>
        <v>2300</v>
      </c>
      <c r="AE229" s="63"/>
      <c r="AF229" s="75">
        <f t="shared" si="203"/>
        <v>9900</v>
      </c>
      <c r="AG229" s="75">
        <f t="shared" si="204"/>
        <v>9900</v>
      </c>
      <c r="AH229" s="75">
        <f t="shared" si="205"/>
        <v>0</v>
      </c>
      <c r="AI229" s="63"/>
      <c r="AJ229" s="75">
        <f t="shared" si="206"/>
        <v>-9347</v>
      </c>
      <c r="AK229" s="75">
        <f t="shared" si="207"/>
        <v>-7047</v>
      </c>
      <c r="AL229" s="63"/>
      <c r="AM229" s="76">
        <v>10500</v>
      </c>
      <c r="AN229" s="75">
        <f t="shared" si="208"/>
        <v>-7647</v>
      </c>
      <c r="AO229" s="63"/>
      <c r="AP229" s="76">
        <v>600</v>
      </c>
      <c r="AQ229" s="75">
        <f t="shared" si="209"/>
        <v>-47</v>
      </c>
      <c r="AR229" s="63"/>
      <c r="AS229" s="63"/>
      <c r="AT229" s="63"/>
      <c r="AU229" s="63"/>
    </row>
    <row r="230" spans="1:47" ht="12.75" customHeight="1">
      <c r="A230" s="106" t="s">
        <v>533</v>
      </c>
      <c r="B230" s="121"/>
      <c r="C230" s="121"/>
      <c r="D230" s="133">
        <v>0</v>
      </c>
      <c r="E230" s="133">
        <v>0</v>
      </c>
      <c r="F230" s="133">
        <v>0</v>
      </c>
      <c r="G230" s="133">
        <v>0</v>
      </c>
      <c r="H230" s="133">
        <v>0</v>
      </c>
      <c r="I230" s="133">
        <v>-3353</v>
      </c>
      <c r="J230" s="133">
        <v>0</v>
      </c>
      <c r="K230" s="133">
        <v>0</v>
      </c>
      <c r="L230" s="133">
        <v>0</v>
      </c>
      <c r="M230" s="133">
        <v>0</v>
      </c>
      <c r="N230" s="133">
        <v>0</v>
      </c>
      <c r="O230" s="228">
        <v>-2300</v>
      </c>
      <c r="P230" s="75">
        <f t="shared" si="196"/>
        <v>-5653</v>
      </c>
      <c r="Q230" s="76">
        <f t="shared" si="197"/>
        <v>-3353</v>
      </c>
      <c r="R230" s="75">
        <f t="shared" si="198"/>
        <v>-2300</v>
      </c>
      <c r="S230" s="84"/>
      <c r="T230" s="76">
        <v>-7500</v>
      </c>
      <c r="U230" s="76">
        <v>-7500</v>
      </c>
      <c r="V230" s="75">
        <f t="shared" si="199"/>
        <v>0</v>
      </c>
      <c r="W230" s="63"/>
      <c r="X230" s="63"/>
      <c r="Y230" s="63"/>
      <c r="Z230" s="63"/>
      <c r="AA230" s="63" t="str">
        <f t="shared" si="194"/>
        <v xml:space="preserve">      Proceeds Offset</v>
      </c>
      <c r="AB230" s="108">
        <f t="shared" si="200"/>
        <v>-5653</v>
      </c>
      <c r="AC230" s="76">
        <f t="shared" si="201"/>
        <v>-3353</v>
      </c>
      <c r="AD230" s="75">
        <f t="shared" si="202"/>
        <v>-2300</v>
      </c>
      <c r="AE230" s="63"/>
      <c r="AF230" s="75">
        <f t="shared" si="203"/>
        <v>-7500</v>
      </c>
      <c r="AG230" s="75">
        <f t="shared" si="204"/>
        <v>-7500</v>
      </c>
      <c r="AH230" s="75">
        <f t="shared" si="205"/>
        <v>0</v>
      </c>
      <c r="AI230" s="63"/>
      <c r="AJ230" s="75">
        <f t="shared" si="206"/>
        <v>4147</v>
      </c>
      <c r="AK230" s="75">
        <f t="shared" si="207"/>
        <v>1847</v>
      </c>
      <c r="AL230" s="63"/>
      <c r="AM230" s="76">
        <v>-11500</v>
      </c>
      <c r="AN230" s="75">
        <f t="shared" si="208"/>
        <v>5847</v>
      </c>
      <c r="AO230" s="63"/>
      <c r="AP230" s="76">
        <v>-3400</v>
      </c>
      <c r="AQ230" s="75">
        <f t="shared" si="209"/>
        <v>47</v>
      </c>
      <c r="AR230" s="63"/>
      <c r="AS230" s="63"/>
      <c r="AT230" s="63"/>
      <c r="AU230" s="63"/>
    </row>
    <row r="231" spans="1:47" ht="12.75" customHeight="1">
      <c r="A231" s="106" t="s">
        <v>517</v>
      </c>
      <c r="B231" s="121"/>
      <c r="C231" s="121"/>
      <c r="D231" s="133">
        <v>0</v>
      </c>
      <c r="E231" s="133">
        <v>0</v>
      </c>
      <c r="F231" s="133">
        <v>0</v>
      </c>
      <c r="G231" s="133">
        <v>0</v>
      </c>
      <c r="H231" s="133">
        <v>0</v>
      </c>
      <c r="I231" s="133">
        <v>0</v>
      </c>
      <c r="J231" s="133">
        <v>0</v>
      </c>
      <c r="K231" s="133">
        <v>0</v>
      </c>
      <c r="L231" s="133">
        <v>0</v>
      </c>
      <c r="M231" s="133">
        <v>0</v>
      </c>
      <c r="N231" s="133">
        <v>0</v>
      </c>
      <c r="O231" s="133">
        <v>0</v>
      </c>
      <c r="P231" s="75">
        <f t="shared" si="196"/>
        <v>0</v>
      </c>
      <c r="Q231" s="76">
        <f t="shared" si="197"/>
        <v>0</v>
      </c>
      <c r="R231" s="75">
        <f t="shared" si="198"/>
        <v>0</v>
      </c>
      <c r="S231" s="84"/>
      <c r="T231" s="76">
        <v>0</v>
      </c>
      <c r="U231" s="76">
        <v>0</v>
      </c>
      <c r="V231" s="75">
        <f t="shared" si="199"/>
        <v>0</v>
      </c>
      <c r="W231" s="63"/>
      <c r="X231" s="63"/>
      <c r="Y231" s="63"/>
      <c r="Z231" s="63"/>
      <c r="AA231" s="63" t="str">
        <f t="shared" si="194"/>
        <v xml:space="preserve">      Long Term Debt Discount FF Reporting Change 2/00</v>
      </c>
      <c r="AB231" s="108">
        <f t="shared" si="200"/>
        <v>0</v>
      </c>
      <c r="AC231" s="76">
        <f t="shared" si="201"/>
        <v>0</v>
      </c>
      <c r="AD231" s="75">
        <f t="shared" si="202"/>
        <v>0</v>
      </c>
      <c r="AE231" s="63"/>
      <c r="AF231" s="75">
        <f t="shared" si="203"/>
        <v>0</v>
      </c>
      <c r="AG231" s="75">
        <f t="shared" si="204"/>
        <v>0</v>
      </c>
      <c r="AH231" s="75">
        <f t="shared" si="205"/>
        <v>0</v>
      </c>
      <c r="AI231" s="63"/>
      <c r="AJ231" s="75">
        <f t="shared" si="206"/>
        <v>0</v>
      </c>
      <c r="AK231" s="75">
        <f t="shared" si="207"/>
        <v>0</v>
      </c>
      <c r="AL231" s="63"/>
      <c r="AM231" s="76">
        <v>0</v>
      </c>
      <c r="AN231" s="75">
        <f t="shared" si="208"/>
        <v>0</v>
      </c>
      <c r="AO231" s="63"/>
      <c r="AP231" s="76">
        <v>0</v>
      </c>
      <c r="AQ231" s="75">
        <f t="shared" si="209"/>
        <v>0</v>
      </c>
      <c r="AR231" s="63"/>
      <c r="AS231" s="63"/>
      <c r="AT231" s="63"/>
      <c r="AU231" s="63"/>
    </row>
    <row r="232" spans="1:47" ht="12.75" customHeight="1">
      <c r="A232" s="106" t="s">
        <v>503</v>
      </c>
      <c r="B232" s="121"/>
      <c r="C232" s="121"/>
      <c r="D232" s="133">
        <v>0</v>
      </c>
      <c r="E232" s="133">
        <v>0</v>
      </c>
      <c r="F232" s="133">
        <v>0</v>
      </c>
      <c r="G232" s="133">
        <v>0</v>
      </c>
      <c r="H232" s="133">
        <v>0</v>
      </c>
      <c r="I232" s="133">
        <v>0</v>
      </c>
      <c r="J232" s="133">
        <v>0</v>
      </c>
      <c r="K232" s="133">
        <v>0</v>
      </c>
      <c r="L232" s="133">
        <v>0</v>
      </c>
      <c r="M232" s="133">
        <v>0</v>
      </c>
      <c r="N232" s="133">
        <v>0</v>
      </c>
      <c r="O232" s="133">
        <v>0</v>
      </c>
      <c r="P232" s="75">
        <f t="shared" ref="P232:P237" si="212">SUM(D232:O232)</f>
        <v>0</v>
      </c>
      <c r="Q232" s="76">
        <f t="shared" si="197"/>
        <v>0</v>
      </c>
      <c r="R232" s="75">
        <f t="shared" ref="R232:R237" si="213">P232-Q232</f>
        <v>0</v>
      </c>
      <c r="S232" s="84"/>
      <c r="T232" s="76">
        <v>0</v>
      </c>
      <c r="U232" s="76">
        <v>0</v>
      </c>
      <c r="V232" s="75">
        <f t="shared" ref="V232:V237" si="214">T232-U232</f>
        <v>0</v>
      </c>
      <c r="W232" s="63"/>
      <c r="X232" s="63"/>
      <c r="Y232" s="63"/>
      <c r="Z232" s="63"/>
      <c r="AA232" s="63" t="str">
        <f t="shared" si="194"/>
        <v xml:space="preserve">      McDay Energy Loan (Investing Activity 7/99 Forward)</v>
      </c>
      <c r="AB232" s="108">
        <f t="shared" si="200"/>
        <v>0</v>
      </c>
      <c r="AC232" s="76">
        <f t="shared" si="201"/>
        <v>0</v>
      </c>
      <c r="AD232" s="75">
        <f t="shared" ref="AD232:AD237" si="215">AB232-AC232</f>
        <v>0</v>
      </c>
      <c r="AE232" s="63"/>
      <c r="AF232" s="75">
        <f t="shared" si="203"/>
        <v>0</v>
      </c>
      <c r="AG232" s="75">
        <f t="shared" si="204"/>
        <v>0</v>
      </c>
      <c r="AH232" s="75">
        <f t="shared" ref="AH232:AH237" si="216">AF232-AG232</f>
        <v>0</v>
      </c>
      <c r="AI232" s="63"/>
      <c r="AJ232" s="75">
        <f t="shared" ref="AJ232:AJ237" si="217">AC232-AG232</f>
        <v>0</v>
      </c>
      <c r="AK232" s="75">
        <f t="shared" ref="AK232:AK237" si="218">AB232-AF232</f>
        <v>0</v>
      </c>
      <c r="AL232" s="63"/>
      <c r="AM232" s="76">
        <v>0</v>
      </c>
      <c r="AN232" s="75">
        <f t="shared" ref="AN232:AN237" si="219">AB232-AM232</f>
        <v>0</v>
      </c>
      <c r="AO232" s="63"/>
      <c r="AP232" s="76">
        <v>0</v>
      </c>
      <c r="AQ232" s="75">
        <f t="shared" ref="AQ232:AQ237" si="220">AC232-AP232</f>
        <v>0</v>
      </c>
      <c r="AR232" s="63"/>
      <c r="AS232" s="63"/>
      <c r="AT232" s="63"/>
      <c r="AU232" s="63"/>
    </row>
    <row r="233" spans="1:47" ht="12.75" customHeight="1">
      <c r="A233" s="189" t="s">
        <v>434</v>
      </c>
      <c r="B233" s="121"/>
      <c r="C233" s="121"/>
      <c r="D233" s="165">
        <f t="shared" ref="D233:O233" si="221">D330</f>
        <v>524</v>
      </c>
      <c r="E233" s="165">
        <f t="shared" si="221"/>
        <v>815</v>
      </c>
      <c r="F233" s="165">
        <f t="shared" si="221"/>
        <v>349</v>
      </c>
      <c r="G233" s="165">
        <f t="shared" si="221"/>
        <v>-119</v>
      </c>
      <c r="H233" s="165">
        <f t="shared" si="221"/>
        <v>246</v>
      </c>
      <c r="I233" s="165">
        <f t="shared" si="221"/>
        <v>-483</v>
      </c>
      <c r="J233" s="165">
        <f t="shared" si="221"/>
        <v>-470</v>
      </c>
      <c r="K233" s="165">
        <f t="shared" si="221"/>
        <v>-135</v>
      </c>
      <c r="L233" s="165">
        <f t="shared" si="221"/>
        <v>-200</v>
      </c>
      <c r="M233" s="165">
        <f t="shared" si="221"/>
        <v>-227</v>
      </c>
      <c r="N233" s="165">
        <f t="shared" si="221"/>
        <v>-137</v>
      </c>
      <c r="O233" s="165">
        <f t="shared" si="221"/>
        <v>-138</v>
      </c>
      <c r="P233" s="75">
        <f t="shared" si="212"/>
        <v>25</v>
      </c>
      <c r="Q233" s="76">
        <f t="shared" si="197"/>
        <v>862</v>
      </c>
      <c r="R233" s="75">
        <f t="shared" si="213"/>
        <v>-837</v>
      </c>
      <c r="S233" s="84"/>
      <c r="T233" s="76">
        <v>0</v>
      </c>
      <c r="U233" s="76">
        <v>0</v>
      </c>
      <c r="V233" s="75">
        <f t="shared" si="214"/>
        <v>0</v>
      </c>
      <c r="W233" s="63"/>
      <c r="X233" s="63"/>
      <c r="Y233" s="63"/>
      <c r="Z233" s="63"/>
      <c r="AA233" s="63" t="str">
        <f t="shared" si="194"/>
        <v xml:space="preserve">      Total Current Liability Reserve Activity</v>
      </c>
      <c r="AB233" s="108">
        <f t="shared" si="200"/>
        <v>25</v>
      </c>
      <c r="AC233" s="76">
        <f t="shared" si="201"/>
        <v>527</v>
      </c>
      <c r="AD233" s="75">
        <f t="shared" si="215"/>
        <v>-502</v>
      </c>
      <c r="AE233" s="63"/>
      <c r="AF233" s="75">
        <f t="shared" si="203"/>
        <v>0</v>
      </c>
      <c r="AG233" s="75">
        <f t="shared" si="204"/>
        <v>0</v>
      </c>
      <c r="AH233" s="75">
        <f t="shared" si="216"/>
        <v>0</v>
      </c>
      <c r="AI233" s="63"/>
      <c r="AJ233" s="75">
        <f t="shared" si="217"/>
        <v>527</v>
      </c>
      <c r="AK233" s="75">
        <f t="shared" si="218"/>
        <v>25</v>
      </c>
      <c r="AL233" s="63"/>
      <c r="AM233" s="76">
        <v>1629</v>
      </c>
      <c r="AN233" s="75">
        <f t="shared" si="219"/>
        <v>-1604</v>
      </c>
      <c r="AO233" s="63"/>
      <c r="AP233" s="76">
        <v>1629</v>
      </c>
      <c r="AQ233" s="75">
        <f t="shared" si="220"/>
        <v>-1102</v>
      </c>
      <c r="AR233" s="63"/>
      <c r="AS233" s="63"/>
      <c r="AT233" s="63"/>
      <c r="AU233" s="63"/>
    </row>
    <row r="234" spans="1:47" ht="12.75" customHeight="1">
      <c r="A234" s="106" t="s">
        <v>632</v>
      </c>
      <c r="B234" s="121"/>
      <c r="C234" s="121"/>
      <c r="D234" s="133">
        <v>0</v>
      </c>
      <c r="E234" s="133">
        <v>0</v>
      </c>
      <c r="F234" s="133">
        <v>4</v>
      </c>
      <c r="G234" s="133">
        <v>-14</v>
      </c>
      <c r="H234" s="133">
        <v>-5</v>
      </c>
      <c r="I234" s="133">
        <v>0</v>
      </c>
      <c r="J234" s="133">
        <v>-10</v>
      </c>
      <c r="K234" s="133">
        <v>0</v>
      </c>
      <c r="L234" s="133">
        <v>0</v>
      </c>
      <c r="M234" s="133">
        <v>0</v>
      </c>
      <c r="N234" s="133">
        <v>0</v>
      </c>
      <c r="O234" s="133">
        <v>0</v>
      </c>
      <c r="P234" s="75">
        <f t="shared" si="212"/>
        <v>-25</v>
      </c>
      <c r="Q234" s="76">
        <f t="shared" si="197"/>
        <v>-25</v>
      </c>
      <c r="R234" s="75">
        <f t="shared" si="213"/>
        <v>0</v>
      </c>
      <c r="S234" s="84"/>
      <c r="T234" s="76">
        <v>0</v>
      </c>
      <c r="U234" s="76">
        <v>0</v>
      </c>
      <c r="V234" s="75">
        <f t="shared" si="214"/>
        <v>0</v>
      </c>
      <c r="W234" s="63"/>
      <c r="X234" s="63"/>
      <c r="Y234" s="63"/>
      <c r="Z234" s="63"/>
      <c r="AA234" s="63" t="str">
        <f t="shared" si="194"/>
        <v xml:space="preserve">         McDay Reserve Adjustment</v>
      </c>
      <c r="AB234" s="108">
        <f t="shared" si="200"/>
        <v>-25</v>
      </c>
      <c r="AC234" s="76">
        <f t="shared" si="201"/>
        <v>-25</v>
      </c>
      <c r="AD234" s="75">
        <f t="shared" si="215"/>
        <v>0</v>
      </c>
      <c r="AE234" s="63"/>
      <c r="AF234" s="75">
        <f t="shared" si="203"/>
        <v>0</v>
      </c>
      <c r="AG234" s="75">
        <f t="shared" si="204"/>
        <v>0</v>
      </c>
      <c r="AH234" s="75">
        <f t="shared" si="216"/>
        <v>0</v>
      </c>
      <c r="AI234" s="63"/>
      <c r="AJ234" s="75">
        <f t="shared" si="217"/>
        <v>-25</v>
      </c>
      <c r="AK234" s="75">
        <f t="shared" si="218"/>
        <v>-25</v>
      </c>
      <c r="AL234" s="63"/>
      <c r="AM234" s="76">
        <v>0</v>
      </c>
      <c r="AN234" s="75">
        <f t="shared" si="219"/>
        <v>-25</v>
      </c>
      <c r="AO234" s="63"/>
      <c r="AP234" s="76">
        <v>0</v>
      </c>
      <c r="AQ234" s="75">
        <f t="shared" si="220"/>
        <v>-25</v>
      </c>
      <c r="AR234" s="63"/>
      <c r="AS234" s="63"/>
      <c r="AT234" s="63"/>
      <c r="AU234" s="63"/>
    </row>
    <row r="235" spans="1:47" ht="12.75" customHeight="1">
      <c r="A235" s="106" t="s">
        <v>435</v>
      </c>
      <c r="B235" s="121"/>
      <c r="C235" s="121"/>
      <c r="D235" s="125">
        <f>D352</f>
        <v>6</v>
      </c>
      <c r="E235" s="125">
        <f>E352</f>
        <v>6</v>
      </c>
      <c r="F235" s="125">
        <f>F352</f>
        <v>7</v>
      </c>
      <c r="G235" s="125">
        <f t="shared" ref="G235:O235" si="222">G352</f>
        <v>6</v>
      </c>
      <c r="H235" s="125">
        <f t="shared" si="222"/>
        <v>7</v>
      </c>
      <c r="I235" s="125">
        <f t="shared" si="222"/>
        <v>6</v>
      </c>
      <c r="J235" s="125">
        <f t="shared" si="222"/>
        <v>7</v>
      </c>
      <c r="K235" s="125">
        <f t="shared" si="222"/>
        <v>6</v>
      </c>
      <c r="L235" s="125">
        <f t="shared" si="222"/>
        <v>7</v>
      </c>
      <c r="M235" s="125">
        <f t="shared" si="222"/>
        <v>6</v>
      </c>
      <c r="N235" s="125">
        <f t="shared" si="222"/>
        <v>7</v>
      </c>
      <c r="O235" s="125">
        <f t="shared" si="222"/>
        <v>6</v>
      </c>
      <c r="P235" s="75">
        <f t="shared" si="212"/>
        <v>77</v>
      </c>
      <c r="Q235" s="76">
        <f t="shared" si="197"/>
        <v>45</v>
      </c>
      <c r="R235" s="75">
        <f t="shared" si="213"/>
        <v>32</v>
      </c>
      <c r="S235" s="84"/>
      <c r="T235" s="76">
        <v>77</v>
      </c>
      <c r="U235" s="76">
        <v>58</v>
      </c>
      <c r="V235" s="75">
        <f t="shared" si="214"/>
        <v>19</v>
      </c>
      <c r="W235" s="63"/>
      <c r="X235" s="63"/>
      <c r="Y235" s="63"/>
      <c r="Z235" s="63"/>
      <c r="AA235" s="63" t="str">
        <f t="shared" si="194"/>
        <v xml:space="preserve">      Long Term Debt Discount</v>
      </c>
      <c r="AB235" s="108">
        <f t="shared" si="200"/>
        <v>77</v>
      </c>
      <c r="AC235" s="76">
        <f t="shared" si="201"/>
        <v>58</v>
      </c>
      <c r="AD235" s="75">
        <f t="shared" si="215"/>
        <v>19</v>
      </c>
      <c r="AE235" s="63"/>
      <c r="AF235" s="75">
        <f t="shared" si="203"/>
        <v>77</v>
      </c>
      <c r="AG235" s="75">
        <f t="shared" si="204"/>
        <v>58</v>
      </c>
      <c r="AH235" s="75">
        <f t="shared" si="216"/>
        <v>19</v>
      </c>
      <c r="AI235" s="63"/>
      <c r="AJ235" s="191">
        <f>AC235-AG235</f>
        <v>0</v>
      </c>
      <c r="AK235" s="191">
        <f t="shared" si="218"/>
        <v>0</v>
      </c>
      <c r="AL235" s="63"/>
      <c r="AM235" s="76">
        <v>77</v>
      </c>
      <c r="AN235" s="75">
        <f t="shared" si="219"/>
        <v>0</v>
      </c>
      <c r="AO235" s="63"/>
      <c r="AP235" s="76">
        <v>58</v>
      </c>
      <c r="AQ235" s="75">
        <f t="shared" si="220"/>
        <v>0</v>
      </c>
      <c r="AR235" s="63"/>
      <c r="AS235" s="63"/>
      <c r="AT235" s="63"/>
      <c r="AU235" s="63"/>
    </row>
    <row r="236" spans="1:47" ht="12.75" customHeight="1">
      <c r="A236" s="106" t="s">
        <v>436</v>
      </c>
      <c r="B236" s="121"/>
      <c r="C236" s="121"/>
      <c r="D236" s="133">
        <v>0</v>
      </c>
      <c r="E236" s="133">
        <v>0</v>
      </c>
      <c r="F236" s="133">
        <v>0</v>
      </c>
      <c r="G236" s="133">
        <v>0</v>
      </c>
      <c r="H236" s="133">
        <v>0</v>
      </c>
      <c r="I236" s="133">
        <v>0</v>
      </c>
      <c r="J236" s="133">
        <v>0</v>
      </c>
      <c r="K236" s="133">
        <v>0</v>
      </c>
      <c r="L236" s="133">
        <v>0</v>
      </c>
      <c r="M236" s="133">
        <v>0</v>
      </c>
      <c r="N236" s="133">
        <v>0</v>
      </c>
      <c r="O236" s="133">
        <v>0</v>
      </c>
      <c r="P236" s="75">
        <f t="shared" si="212"/>
        <v>0</v>
      </c>
      <c r="Q236" s="76">
        <f t="shared" si="197"/>
        <v>0</v>
      </c>
      <c r="R236" s="75">
        <f t="shared" si="213"/>
        <v>0</v>
      </c>
      <c r="S236" s="84"/>
      <c r="T236" s="76">
        <v>0</v>
      </c>
      <c r="U236" s="76">
        <v>0</v>
      </c>
      <c r="V236" s="75">
        <f t="shared" si="214"/>
        <v>0</v>
      </c>
      <c r="W236" s="63"/>
      <c r="X236" s="63"/>
      <c r="Y236" s="63"/>
      <c r="Z236" s="63"/>
      <c r="AA236" s="63" t="str">
        <f t="shared" si="194"/>
        <v xml:space="preserve">      Hyperion Adjust. / Reversal (DD&amp;A and Deferred Taxes)</v>
      </c>
      <c r="AB236" s="108">
        <f t="shared" si="200"/>
        <v>0</v>
      </c>
      <c r="AC236" s="76">
        <f t="shared" si="201"/>
        <v>0</v>
      </c>
      <c r="AD236" s="75">
        <f t="shared" si="215"/>
        <v>0</v>
      </c>
      <c r="AE236" s="63"/>
      <c r="AF236" s="75">
        <f t="shared" si="203"/>
        <v>0</v>
      </c>
      <c r="AG236" s="75">
        <f t="shared" si="204"/>
        <v>0</v>
      </c>
      <c r="AH236" s="75">
        <f t="shared" si="216"/>
        <v>0</v>
      </c>
      <c r="AI236" s="63"/>
      <c r="AJ236" s="75">
        <f t="shared" si="217"/>
        <v>0</v>
      </c>
      <c r="AK236" s="75">
        <f t="shared" si="218"/>
        <v>0</v>
      </c>
      <c r="AL236" s="63"/>
      <c r="AM236" s="76">
        <v>0</v>
      </c>
      <c r="AN236" s="75">
        <f t="shared" si="219"/>
        <v>0</v>
      </c>
      <c r="AO236" s="63"/>
      <c r="AP236" s="76">
        <v>0</v>
      </c>
      <c r="AQ236" s="75">
        <f t="shared" si="220"/>
        <v>0</v>
      </c>
      <c r="AR236" s="63"/>
      <c r="AS236" s="63"/>
      <c r="AT236" s="63"/>
      <c r="AU236" s="63"/>
    </row>
    <row r="237" spans="1:47" ht="12.75" customHeight="1">
      <c r="A237" s="124" t="s">
        <v>437</v>
      </c>
      <c r="B237" s="121"/>
      <c r="C237" s="121"/>
      <c r="D237" s="126">
        <f>D239-SUM(D223:D236)</f>
        <v>1</v>
      </c>
      <c r="E237" s="126">
        <f t="shared" ref="E237:O237" si="223">E239-SUM(E223:E236)</f>
        <v>-2</v>
      </c>
      <c r="F237" s="126">
        <f t="shared" si="223"/>
        <v>3</v>
      </c>
      <c r="G237" s="126">
        <f t="shared" si="223"/>
        <v>0</v>
      </c>
      <c r="H237" s="126">
        <f t="shared" si="223"/>
        <v>-2</v>
      </c>
      <c r="I237" s="126">
        <f t="shared" si="223"/>
        <v>-6</v>
      </c>
      <c r="J237" s="126">
        <f t="shared" si="223"/>
        <v>0</v>
      </c>
      <c r="K237" s="126">
        <f t="shared" si="223"/>
        <v>0</v>
      </c>
      <c r="L237" s="126">
        <f t="shared" si="223"/>
        <v>0</v>
      </c>
      <c r="M237" s="126">
        <f t="shared" si="223"/>
        <v>0</v>
      </c>
      <c r="N237" s="126">
        <f t="shared" si="223"/>
        <v>0</v>
      </c>
      <c r="O237" s="126">
        <f t="shared" si="223"/>
        <v>0</v>
      </c>
      <c r="P237" s="80">
        <f t="shared" si="212"/>
        <v>-6</v>
      </c>
      <c r="Q237" s="99">
        <f t="shared" si="197"/>
        <v>-6</v>
      </c>
      <c r="R237" s="80">
        <f t="shared" si="213"/>
        <v>0</v>
      </c>
      <c r="S237" s="127"/>
      <c r="T237" s="126">
        <f>T239-SUM(T223:T236)</f>
        <v>0</v>
      </c>
      <c r="U237" s="126">
        <f>U239-SUM(U223:U236)</f>
        <v>0</v>
      </c>
      <c r="V237" s="80">
        <f t="shared" si="214"/>
        <v>0</v>
      </c>
      <c r="W237" s="63"/>
      <c r="X237" s="63"/>
      <c r="Y237" s="63"/>
      <c r="Z237" s="63"/>
      <c r="AA237" s="63" t="str">
        <f t="shared" si="194"/>
        <v xml:space="preserve">      Others, net</v>
      </c>
      <c r="AB237" s="109">
        <f t="shared" si="200"/>
        <v>-6</v>
      </c>
      <c r="AC237" s="99">
        <f t="shared" si="201"/>
        <v>-6</v>
      </c>
      <c r="AD237" s="80">
        <f t="shared" si="215"/>
        <v>0</v>
      </c>
      <c r="AE237" s="63"/>
      <c r="AF237" s="80">
        <f t="shared" si="203"/>
        <v>0</v>
      </c>
      <c r="AG237" s="80">
        <f t="shared" si="204"/>
        <v>0</v>
      </c>
      <c r="AH237" s="80">
        <f t="shared" si="216"/>
        <v>0</v>
      </c>
      <c r="AI237" s="192"/>
      <c r="AJ237" s="80">
        <f t="shared" si="217"/>
        <v>-6</v>
      </c>
      <c r="AK237" s="80">
        <f t="shared" si="218"/>
        <v>-6</v>
      </c>
      <c r="AL237" s="63"/>
      <c r="AM237" s="126">
        <f>AM239-SUM(AM223:AM236)</f>
        <v>-15</v>
      </c>
      <c r="AN237" s="80">
        <f t="shared" si="219"/>
        <v>9</v>
      </c>
      <c r="AO237" s="81"/>
      <c r="AP237" s="126">
        <f>AP239-SUM(AP223:AP236)</f>
        <v>-15</v>
      </c>
      <c r="AQ237" s="80">
        <f t="shared" si="220"/>
        <v>9</v>
      </c>
      <c r="AR237" s="63"/>
      <c r="AS237" s="63"/>
      <c r="AT237" s="63"/>
      <c r="AU237" s="63"/>
    </row>
    <row r="238" spans="1:47" ht="3.95" customHeight="1">
      <c r="A238" s="129"/>
      <c r="B238" s="121"/>
      <c r="C238" s="121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63"/>
      <c r="W238" s="63"/>
      <c r="X238" s="63"/>
      <c r="Y238" s="63"/>
      <c r="Z238" s="63"/>
      <c r="AA238" s="60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</row>
    <row r="239" spans="1:47" ht="12.75" customHeight="1">
      <c r="A239" s="124" t="s">
        <v>438</v>
      </c>
      <c r="B239" s="121"/>
      <c r="C239" s="121"/>
      <c r="D239" s="126">
        <f>D241-D220</f>
        <v>264</v>
      </c>
      <c r="E239" s="126">
        <f t="shared" ref="E239:T239" si="224">E241-E220</f>
        <v>1078</v>
      </c>
      <c r="F239" s="126">
        <f t="shared" si="224"/>
        <v>-4671</v>
      </c>
      <c r="G239" s="126">
        <f t="shared" si="224"/>
        <v>-127</v>
      </c>
      <c r="H239" s="126">
        <f t="shared" si="224"/>
        <v>363</v>
      </c>
      <c r="I239" s="126">
        <f t="shared" si="224"/>
        <v>-3283</v>
      </c>
      <c r="J239" s="126">
        <f t="shared" si="224"/>
        <v>-473</v>
      </c>
      <c r="K239" s="126">
        <f t="shared" si="224"/>
        <v>-129</v>
      </c>
      <c r="L239" s="126">
        <f t="shared" si="224"/>
        <v>-193</v>
      </c>
      <c r="M239" s="126">
        <f t="shared" si="224"/>
        <v>-221</v>
      </c>
      <c r="N239" s="126">
        <f t="shared" si="224"/>
        <v>-130</v>
      </c>
      <c r="O239" s="126">
        <f t="shared" si="224"/>
        <v>-132</v>
      </c>
      <c r="P239" s="126">
        <f t="shared" si="224"/>
        <v>-7654</v>
      </c>
      <c r="Q239" s="126">
        <f t="shared" si="224"/>
        <v>-6849</v>
      </c>
      <c r="R239" s="126">
        <f t="shared" si="224"/>
        <v>-805</v>
      </c>
      <c r="S239" s="84"/>
      <c r="T239" s="126">
        <f t="shared" si="224"/>
        <v>2477</v>
      </c>
      <c r="U239" s="126">
        <f>U241-U220</f>
        <v>2458</v>
      </c>
      <c r="V239" s="126">
        <f>V241-V220</f>
        <v>19</v>
      </c>
      <c r="W239" s="63"/>
      <c r="X239" s="63"/>
      <c r="Y239" s="63"/>
      <c r="Z239" s="63"/>
      <c r="AA239" s="63" t="str">
        <f>A239</f>
        <v xml:space="preserve">         Subtotal (Financial Reporting)</v>
      </c>
      <c r="AB239" s="126">
        <f t="shared" ref="AB239:AQ239" si="225">AB241-AB220</f>
        <v>-7654</v>
      </c>
      <c r="AC239" s="126">
        <f t="shared" si="225"/>
        <v>-7171</v>
      </c>
      <c r="AD239" s="126">
        <f t="shared" si="225"/>
        <v>-483</v>
      </c>
      <c r="AE239" s="63"/>
      <c r="AF239" s="126">
        <f t="shared" si="225"/>
        <v>2477</v>
      </c>
      <c r="AG239" s="126">
        <f t="shared" si="225"/>
        <v>2458</v>
      </c>
      <c r="AH239" s="126">
        <f t="shared" si="225"/>
        <v>19</v>
      </c>
      <c r="AI239" s="63"/>
      <c r="AJ239" s="193">
        <f>AJ241-AJ220-59+59</f>
        <v>-9629</v>
      </c>
      <c r="AK239" s="193">
        <f>AK241-AK220-78+78</f>
        <v>-10131</v>
      </c>
      <c r="AL239" s="63"/>
      <c r="AM239" s="126">
        <f t="shared" si="225"/>
        <v>-4234</v>
      </c>
      <c r="AN239" s="126">
        <f t="shared" si="225"/>
        <v>-3420</v>
      </c>
      <c r="AO239" s="63"/>
      <c r="AP239" s="126">
        <f t="shared" si="225"/>
        <v>-6053</v>
      </c>
      <c r="AQ239" s="126">
        <f t="shared" si="225"/>
        <v>-1118</v>
      </c>
      <c r="AR239" s="63"/>
      <c r="AS239" s="63"/>
      <c r="AT239" s="63"/>
      <c r="AU239" s="63"/>
    </row>
    <row r="240" spans="1:47" ht="6" customHeight="1">
      <c r="A240" s="129"/>
      <c r="B240" s="121"/>
      <c r="C240" s="12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63"/>
      <c r="X240" s="63"/>
      <c r="Y240" s="63"/>
      <c r="Z240" s="63"/>
      <c r="AA240" s="60"/>
      <c r="AB240" s="84"/>
      <c r="AC240" s="84"/>
      <c r="AD240" s="84"/>
      <c r="AE240" s="63"/>
      <c r="AF240" s="84"/>
      <c r="AG240" s="84"/>
      <c r="AH240" s="84"/>
      <c r="AI240" s="63"/>
      <c r="AJ240" s="84"/>
      <c r="AK240" s="84"/>
      <c r="AL240" s="63"/>
      <c r="AM240" s="84"/>
      <c r="AN240" s="84"/>
      <c r="AO240" s="63"/>
      <c r="AP240" s="84"/>
      <c r="AQ240" s="84"/>
      <c r="AR240" s="63"/>
      <c r="AS240" s="63"/>
      <c r="AT240" s="63"/>
      <c r="AU240" s="63"/>
    </row>
    <row r="241" spans="1:47" ht="12.75" customHeight="1">
      <c r="A241" s="210" t="s">
        <v>439</v>
      </c>
      <c r="B241" s="211"/>
      <c r="C241" s="211"/>
      <c r="D241" s="212">
        <f t="shared" ref="D241:R241" si="226">D12+D34</f>
        <v>1266</v>
      </c>
      <c r="E241" s="212">
        <f t="shared" si="226"/>
        <v>-524</v>
      </c>
      <c r="F241" s="212">
        <f t="shared" si="226"/>
        <v>-3806</v>
      </c>
      <c r="G241" s="212">
        <f t="shared" si="226"/>
        <v>-412</v>
      </c>
      <c r="H241" s="212">
        <f t="shared" si="226"/>
        <v>101</v>
      </c>
      <c r="I241" s="212">
        <f t="shared" si="226"/>
        <v>-1192</v>
      </c>
      <c r="J241" s="212">
        <f t="shared" si="226"/>
        <v>-1202</v>
      </c>
      <c r="K241" s="212">
        <f t="shared" si="226"/>
        <v>-158</v>
      </c>
      <c r="L241" s="212">
        <f t="shared" si="226"/>
        <v>-219</v>
      </c>
      <c r="M241" s="212">
        <f t="shared" si="226"/>
        <v>-161</v>
      </c>
      <c r="N241" s="212">
        <f t="shared" si="226"/>
        <v>-86</v>
      </c>
      <c r="O241" s="212">
        <f t="shared" si="226"/>
        <v>-377</v>
      </c>
      <c r="P241" s="212">
        <f t="shared" si="226"/>
        <v>-6770</v>
      </c>
      <c r="Q241" s="212">
        <f t="shared" si="226"/>
        <v>-5769</v>
      </c>
      <c r="R241" s="212">
        <f t="shared" si="226"/>
        <v>-1001</v>
      </c>
      <c r="S241" s="84"/>
      <c r="T241" s="213">
        <f>T12+T34+T52-T52</f>
        <v>-7962</v>
      </c>
      <c r="U241" s="213">
        <f>U12+U34+U52-U52</f>
        <v>-5862</v>
      </c>
      <c r="V241" s="213">
        <f>V12+V34+V52-V52</f>
        <v>-2100</v>
      </c>
      <c r="W241" s="63"/>
      <c r="X241" s="63"/>
      <c r="Y241" s="63"/>
      <c r="Z241" s="63"/>
      <c r="AA241" s="60" t="str">
        <f>A241</f>
        <v xml:space="preserve">      Total Other Items</v>
      </c>
      <c r="AB241" s="212">
        <f>AB12+AB34</f>
        <v>-6770</v>
      </c>
      <c r="AC241" s="212">
        <f>AC12+AC34</f>
        <v>-6146</v>
      </c>
      <c r="AD241" s="212">
        <f>AD12+AD34</f>
        <v>-624</v>
      </c>
      <c r="AE241" s="63"/>
      <c r="AF241" s="213">
        <f>AF12+AF34+AF52-AF52</f>
        <v>-7962</v>
      </c>
      <c r="AG241" s="213">
        <f>AG12+AG34+AG52-AG52</f>
        <v>-5862</v>
      </c>
      <c r="AH241" s="213">
        <f>AH12+AH34+AH52-AH52</f>
        <v>-2100</v>
      </c>
      <c r="AI241" s="63"/>
      <c r="AJ241" s="213">
        <f>AJ12+AJ34-59+59</f>
        <v>-284</v>
      </c>
      <c r="AK241" s="213">
        <f>AK12+AK34-78+78</f>
        <v>1192</v>
      </c>
      <c r="AL241" s="63"/>
      <c r="AM241" s="128">
        <f>AM12+AM34</f>
        <v>-7421</v>
      </c>
      <c r="AN241" s="128">
        <f>AN12+AN34</f>
        <v>651</v>
      </c>
      <c r="AO241" s="63"/>
      <c r="AP241" s="128">
        <f>AP12+AP34</f>
        <v>-7213</v>
      </c>
      <c r="AQ241" s="128">
        <f>AQ12+AQ34</f>
        <v>1067</v>
      </c>
      <c r="AR241" s="63"/>
      <c r="AS241" s="63"/>
      <c r="AT241" s="63"/>
      <c r="AU241" s="63"/>
    </row>
    <row r="242" spans="1:47" ht="12.75" customHeight="1">
      <c r="A242" s="121"/>
      <c r="B242" s="121"/>
      <c r="C242" s="121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63"/>
      <c r="X242" s="63"/>
      <c r="Y242" s="63"/>
      <c r="Z242" s="63"/>
      <c r="AA242" s="60"/>
      <c r="AB242" s="84"/>
      <c r="AC242" s="84"/>
      <c r="AD242" s="84"/>
      <c r="AE242" s="63"/>
      <c r="AF242" s="84"/>
      <c r="AG242" s="84"/>
      <c r="AH242" s="84"/>
      <c r="AI242" s="63"/>
      <c r="AJ242" s="84"/>
      <c r="AK242" s="84"/>
      <c r="AL242" s="63"/>
      <c r="AM242" s="84"/>
      <c r="AN242" s="84"/>
      <c r="AO242" s="63"/>
      <c r="AP242" s="84"/>
      <c r="AQ242" s="84"/>
      <c r="AR242" s="63"/>
      <c r="AS242" s="63"/>
      <c r="AT242" s="63"/>
      <c r="AU242" s="63"/>
    </row>
    <row r="243" spans="1:47" ht="12.75" customHeight="1">
      <c r="A243" s="214" t="s">
        <v>440</v>
      </c>
      <c r="B243" s="121"/>
      <c r="C243" s="121"/>
      <c r="D243" s="134">
        <f>+D241</f>
        <v>1266</v>
      </c>
      <c r="E243" s="134">
        <f t="shared" ref="E243:V243" si="227">+E241</f>
        <v>-524</v>
      </c>
      <c r="F243" s="134">
        <f t="shared" si="227"/>
        <v>-3806</v>
      </c>
      <c r="G243" s="134">
        <f t="shared" si="227"/>
        <v>-412</v>
      </c>
      <c r="H243" s="134">
        <f t="shared" si="227"/>
        <v>101</v>
      </c>
      <c r="I243" s="134">
        <f t="shared" si="227"/>
        <v>-1192</v>
      </c>
      <c r="J243" s="134">
        <f t="shared" si="227"/>
        <v>-1202</v>
      </c>
      <c r="K243" s="134">
        <f t="shared" si="227"/>
        <v>-158</v>
      </c>
      <c r="L243" s="134">
        <f t="shared" si="227"/>
        <v>-219</v>
      </c>
      <c r="M243" s="134">
        <f t="shared" si="227"/>
        <v>-161</v>
      </c>
      <c r="N243" s="134">
        <f t="shared" si="227"/>
        <v>-86</v>
      </c>
      <c r="O243" s="134">
        <f t="shared" si="227"/>
        <v>-377</v>
      </c>
      <c r="P243" s="134">
        <f t="shared" si="227"/>
        <v>-6770</v>
      </c>
      <c r="Q243" s="134">
        <f t="shared" si="227"/>
        <v>-5769</v>
      </c>
      <c r="R243" s="134">
        <f t="shared" si="227"/>
        <v>-1001</v>
      </c>
      <c r="S243" s="84"/>
      <c r="T243" s="134">
        <f t="shared" si="227"/>
        <v>-7962</v>
      </c>
      <c r="U243" s="134">
        <f t="shared" si="227"/>
        <v>-5862</v>
      </c>
      <c r="V243" s="134">
        <f t="shared" si="227"/>
        <v>-2100</v>
      </c>
      <c r="W243" s="63"/>
      <c r="X243" s="63"/>
      <c r="Y243" s="63"/>
      <c r="Z243" s="63"/>
      <c r="AA243" s="60" t="str">
        <f>A243</f>
        <v>TOTAL " OTHER "</v>
      </c>
      <c r="AB243" s="134">
        <f>AB241</f>
        <v>-6770</v>
      </c>
      <c r="AC243" s="134">
        <f>AC241</f>
        <v>-6146</v>
      </c>
      <c r="AD243" s="134">
        <f>AD241</f>
        <v>-624</v>
      </c>
      <c r="AE243" s="63"/>
      <c r="AF243" s="134">
        <f t="shared" ref="AF243:AQ243" si="228">AF241</f>
        <v>-7962</v>
      </c>
      <c r="AG243" s="134">
        <f t="shared" si="228"/>
        <v>-5862</v>
      </c>
      <c r="AH243" s="134">
        <f t="shared" si="228"/>
        <v>-2100</v>
      </c>
      <c r="AI243" s="63"/>
      <c r="AJ243" s="134">
        <f t="shared" si="228"/>
        <v>-284</v>
      </c>
      <c r="AK243" s="134">
        <f t="shared" si="228"/>
        <v>1192</v>
      </c>
      <c r="AL243" s="63"/>
      <c r="AM243" s="134">
        <f t="shared" si="228"/>
        <v>-7421</v>
      </c>
      <c r="AN243" s="134">
        <f t="shared" si="228"/>
        <v>651</v>
      </c>
      <c r="AO243" s="63"/>
      <c r="AP243" s="134">
        <f t="shared" si="228"/>
        <v>-7213</v>
      </c>
      <c r="AQ243" s="134">
        <f t="shared" si="228"/>
        <v>1067</v>
      </c>
      <c r="AR243" s="63"/>
      <c r="AS243" s="63"/>
      <c r="AT243" s="63"/>
      <c r="AU243" s="63"/>
    </row>
    <row r="244" spans="1:47" ht="12.75" customHeight="1">
      <c r="A244" s="121"/>
      <c r="B244" s="121"/>
      <c r="C244" s="121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63"/>
      <c r="W244" s="63"/>
      <c r="X244" s="63"/>
      <c r="Y244" s="63"/>
      <c r="Z244" s="63"/>
      <c r="AA244" s="60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</row>
    <row r="245" spans="1:47" ht="12.75" customHeight="1">
      <c r="A245" s="121" t="str">
        <f>A109</f>
        <v xml:space="preserve">      CHECK #</v>
      </c>
      <c r="B245" s="121"/>
      <c r="C245" s="121"/>
      <c r="D245" s="108">
        <f t="shared" ref="D245:R245" si="229">D141-D243</f>
        <v>0</v>
      </c>
      <c r="E245" s="108">
        <f t="shared" si="229"/>
        <v>0</v>
      </c>
      <c r="F245" s="108">
        <f t="shared" si="229"/>
        <v>0</v>
      </c>
      <c r="G245" s="108">
        <f t="shared" si="229"/>
        <v>0</v>
      </c>
      <c r="H245" s="108">
        <f t="shared" si="229"/>
        <v>0</v>
      </c>
      <c r="I245" s="108">
        <f t="shared" si="229"/>
        <v>0</v>
      </c>
      <c r="J245" s="108">
        <f t="shared" si="229"/>
        <v>0</v>
      </c>
      <c r="K245" s="108">
        <f t="shared" si="229"/>
        <v>0</v>
      </c>
      <c r="L245" s="108">
        <f t="shared" si="229"/>
        <v>0</v>
      </c>
      <c r="M245" s="108">
        <f t="shared" si="229"/>
        <v>0</v>
      </c>
      <c r="N245" s="108">
        <f t="shared" si="229"/>
        <v>0</v>
      </c>
      <c r="O245" s="108">
        <f t="shared" si="229"/>
        <v>0</v>
      </c>
      <c r="P245" s="108">
        <f t="shared" si="229"/>
        <v>0</v>
      </c>
      <c r="Q245" s="108">
        <f t="shared" si="229"/>
        <v>0</v>
      </c>
      <c r="R245" s="108">
        <f t="shared" si="229"/>
        <v>0</v>
      </c>
      <c r="S245" s="132"/>
      <c r="T245" s="108">
        <f>T141-T243</f>
        <v>0</v>
      </c>
      <c r="U245" s="108">
        <f>U141-U243</f>
        <v>0</v>
      </c>
      <c r="V245" s="108">
        <f>V141-V243</f>
        <v>0</v>
      </c>
      <c r="W245" s="108"/>
      <c r="X245" s="108"/>
      <c r="Y245" s="108"/>
      <c r="Z245" s="108"/>
      <c r="AA245" s="108" t="str">
        <f>A245</f>
        <v xml:space="preserve">      CHECK #</v>
      </c>
      <c r="AB245" s="108">
        <f>AB141-AB243</f>
        <v>0</v>
      </c>
      <c r="AC245" s="108">
        <f>AC141-AC243</f>
        <v>0</v>
      </c>
      <c r="AD245" s="108">
        <f>AD141-AD243</f>
        <v>0</v>
      </c>
      <c r="AE245" s="108"/>
      <c r="AF245" s="108">
        <f>AF141-AF243</f>
        <v>0</v>
      </c>
      <c r="AG245" s="108">
        <f>AG141-AG243</f>
        <v>0</v>
      </c>
      <c r="AH245" s="108">
        <f>AH141-AH243</f>
        <v>0</v>
      </c>
      <c r="AI245" s="108"/>
      <c r="AJ245" s="108">
        <f>AJ141-AJ243</f>
        <v>0</v>
      </c>
      <c r="AK245" s="108">
        <f>AK141-AK243</f>
        <v>0</v>
      </c>
      <c r="AL245" s="108"/>
      <c r="AM245" s="108">
        <f>AM141-AM243</f>
        <v>0</v>
      </c>
      <c r="AN245" s="108">
        <f>AN141-AN243</f>
        <v>0</v>
      </c>
      <c r="AO245" s="108"/>
      <c r="AP245" s="108">
        <f>AP141-AP243</f>
        <v>0</v>
      </c>
      <c r="AQ245" s="108">
        <f>AQ141-AQ243</f>
        <v>0</v>
      </c>
      <c r="AR245" s="108"/>
      <c r="AS245" s="63"/>
      <c r="AT245" s="63"/>
      <c r="AU245" s="63"/>
    </row>
    <row r="246" spans="1:47" ht="6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63"/>
      <c r="W246" s="63"/>
      <c r="X246" s="63"/>
      <c r="Y246" s="63"/>
      <c r="Z246" s="63"/>
      <c r="AA246" s="60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</row>
    <row r="247" spans="1:47" ht="12.75" customHeight="1">
      <c r="A247" s="60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0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</row>
    <row r="248" spans="1:47">
      <c r="A248" s="64" t="str">
        <f ca="1">A1</f>
        <v>C:\Users\Felienne\Enron\EnronSpreadsheets\[tracy_geaccone__40393__NNG3rdCECF.xls]BACKUP</v>
      </c>
      <c r="B248" s="60"/>
      <c r="C248" s="60"/>
      <c r="D248" s="60"/>
      <c r="E248" s="60"/>
      <c r="F248" s="60"/>
      <c r="G248" s="60"/>
      <c r="H248" s="208"/>
      <c r="I248" s="102" t="str">
        <f>I1</f>
        <v>NORTHERN NATURAL GAS GROUP</v>
      </c>
      <c r="J248" s="102"/>
      <c r="K248" s="102"/>
      <c r="L248" s="102"/>
      <c r="M248" s="60"/>
      <c r="N248" s="60"/>
      <c r="O248" s="60"/>
      <c r="P248" s="60"/>
      <c r="Q248" s="60"/>
      <c r="R248" s="60"/>
      <c r="S248" s="60"/>
      <c r="T248" s="65"/>
      <c r="U248" s="62">
        <f ca="1">NOW()</f>
        <v>41887.551206018521</v>
      </c>
      <c r="V248" s="63"/>
      <c r="W248" s="63"/>
      <c r="X248" s="63"/>
      <c r="Y248" s="63"/>
      <c r="Z248" s="63"/>
      <c r="AA248" s="60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</row>
    <row r="249" spans="1:47">
      <c r="A249" s="59" t="s">
        <v>441</v>
      </c>
      <c r="B249" s="60"/>
      <c r="C249" s="60"/>
      <c r="D249" s="60"/>
      <c r="E249" s="60"/>
      <c r="F249" s="60"/>
      <c r="G249" s="60"/>
      <c r="H249" s="208"/>
      <c r="I249" s="102" t="str">
        <f>I2</f>
        <v>CASH FLOW STATEMENT</v>
      </c>
      <c r="J249" s="102"/>
      <c r="K249" s="102"/>
      <c r="L249" s="102"/>
      <c r="M249" s="60"/>
      <c r="N249" s="60"/>
      <c r="O249" s="60"/>
      <c r="P249" s="60"/>
      <c r="Q249" s="60"/>
      <c r="R249" s="60"/>
      <c r="S249" s="60"/>
      <c r="T249" s="68"/>
      <c r="U249" s="67">
        <f ca="1">NOW()</f>
        <v>41887.551206018521</v>
      </c>
      <c r="V249" s="63"/>
      <c r="W249" s="63"/>
      <c r="X249" s="63"/>
      <c r="Y249" s="63"/>
      <c r="Z249" s="63"/>
      <c r="AA249" s="60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</row>
    <row r="250" spans="1:47">
      <c r="A250" s="60"/>
      <c r="B250" s="60"/>
      <c r="C250" s="60"/>
      <c r="D250" s="60"/>
      <c r="E250" s="60"/>
      <c r="F250" s="60"/>
      <c r="G250" s="60"/>
      <c r="H250" s="208"/>
      <c r="I250" s="102" t="str">
        <f>I3</f>
        <v>2001 ACTUAL / ESTIMATE</v>
      </c>
      <c r="J250" s="102"/>
      <c r="K250" s="102"/>
      <c r="L250" s="102"/>
      <c r="M250" s="60"/>
      <c r="N250" s="60"/>
      <c r="O250" s="60"/>
      <c r="P250" s="60"/>
      <c r="Q250" s="60"/>
      <c r="R250" s="60"/>
      <c r="S250" s="60"/>
      <c r="T250" s="60"/>
      <c r="U250" s="60"/>
      <c r="V250" s="63"/>
      <c r="W250" s="63"/>
      <c r="X250" s="63"/>
      <c r="Y250" s="63"/>
      <c r="Z250" s="63"/>
      <c r="AA250" s="60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</row>
    <row r="251" spans="1:47">
      <c r="A251" s="60"/>
      <c r="B251" s="60"/>
      <c r="C251" s="60"/>
      <c r="D251" s="60"/>
      <c r="E251" s="60"/>
      <c r="F251" s="60"/>
      <c r="G251" s="60"/>
      <c r="H251" s="208"/>
      <c r="I251" s="102" t="str">
        <f>I4</f>
        <v>(Thousands of Dollars)</v>
      </c>
      <c r="J251" s="102"/>
      <c r="K251" s="102"/>
      <c r="L251" s="102"/>
      <c r="M251" s="60"/>
      <c r="N251" s="60"/>
      <c r="O251" s="60"/>
      <c r="P251" s="60"/>
      <c r="Q251" s="60"/>
      <c r="R251" s="60"/>
      <c r="S251" s="60"/>
      <c r="T251" s="60"/>
      <c r="U251" s="60"/>
      <c r="V251" s="63"/>
      <c r="W251" s="63"/>
      <c r="X251" s="63"/>
      <c r="Y251" s="63"/>
      <c r="Z251" s="63"/>
      <c r="AA251" s="60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</row>
    <row r="252" spans="1:47">
      <c r="A252" s="61" t="s">
        <v>442</v>
      </c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3"/>
      <c r="W252" s="63"/>
      <c r="X252" s="63"/>
      <c r="Y252" s="63"/>
      <c r="Z252" s="63"/>
      <c r="AA252" s="60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</row>
    <row r="253" spans="1:47">
      <c r="A253" s="60"/>
      <c r="B253" s="60"/>
      <c r="C253" s="60"/>
      <c r="D253" s="60"/>
      <c r="E253" s="60"/>
      <c r="F253" s="69"/>
      <c r="G253" s="60"/>
      <c r="H253" s="60"/>
      <c r="I253" s="60"/>
      <c r="J253" s="69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3"/>
      <c r="W253" s="63"/>
      <c r="X253" s="63"/>
      <c r="Y253" s="63"/>
      <c r="Z253" s="63"/>
      <c r="AA253" s="60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</row>
    <row r="254" spans="1:47">
      <c r="A254" s="60"/>
      <c r="B254" s="60"/>
      <c r="C254" s="60"/>
      <c r="D254" s="70" t="str">
        <f t="shared" ref="D254:R254" si="230">D6</f>
        <v>ACT.</v>
      </c>
      <c r="E254" s="70" t="str">
        <f t="shared" si="230"/>
        <v>ACT.</v>
      </c>
      <c r="F254" s="70" t="str">
        <f t="shared" si="230"/>
        <v>ACT.</v>
      </c>
      <c r="G254" s="70" t="str">
        <f t="shared" si="230"/>
        <v>ACT.</v>
      </c>
      <c r="H254" s="70" t="str">
        <f t="shared" si="230"/>
        <v>ACT.</v>
      </c>
      <c r="I254" s="70" t="str">
        <f t="shared" si="230"/>
        <v>ACT.</v>
      </c>
      <c r="J254" s="70" t="str">
        <f t="shared" si="230"/>
        <v>ACT.</v>
      </c>
      <c r="K254" s="70" t="str">
        <f t="shared" si="230"/>
        <v>ACT.</v>
      </c>
      <c r="L254" s="70" t="str">
        <f t="shared" si="230"/>
        <v>3rd CE</v>
      </c>
      <c r="M254" s="70" t="str">
        <f t="shared" si="230"/>
        <v>3rd CE</v>
      </c>
      <c r="N254" s="70" t="str">
        <f t="shared" si="230"/>
        <v>3rd CE</v>
      </c>
      <c r="O254" s="70" t="str">
        <f t="shared" si="230"/>
        <v>3rd CE</v>
      </c>
      <c r="P254" s="70" t="str">
        <f t="shared" si="230"/>
        <v>TOTAL</v>
      </c>
      <c r="Q254" s="70" t="str">
        <f t="shared" si="230"/>
        <v>JULY</v>
      </c>
      <c r="R254" s="70" t="str">
        <f t="shared" si="230"/>
        <v>ESTIMATED</v>
      </c>
      <c r="S254" s="60"/>
      <c r="T254" s="95" t="s">
        <v>443</v>
      </c>
      <c r="U254" s="95"/>
      <c r="V254" s="63"/>
      <c r="W254" s="63"/>
      <c r="X254" s="63"/>
      <c r="Y254" s="63"/>
      <c r="Z254" s="63"/>
      <c r="AA254" s="60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</row>
    <row r="255" spans="1:47">
      <c r="A255" s="60"/>
      <c r="B255" s="60"/>
      <c r="C255" s="60"/>
      <c r="D255" s="73" t="str">
        <f t="shared" ref="D255:R255" si="231">D7</f>
        <v>JAN</v>
      </c>
      <c r="E255" s="73" t="str">
        <f t="shared" si="231"/>
        <v>FEB</v>
      </c>
      <c r="F255" s="73" t="str">
        <f t="shared" si="231"/>
        <v>MAR</v>
      </c>
      <c r="G255" s="73" t="str">
        <f t="shared" si="231"/>
        <v>APR</v>
      </c>
      <c r="H255" s="73" t="str">
        <f t="shared" si="231"/>
        <v>MAY</v>
      </c>
      <c r="I255" s="73" t="str">
        <f t="shared" si="231"/>
        <v>JUN</v>
      </c>
      <c r="J255" s="73" t="str">
        <f t="shared" si="231"/>
        <v>JUL</v>
      </c>
      <c r="K255" s="73" t="str">
        <f t="shared" si="231"/>
        <v>AUG</v>
      </c>
      <c r="L255" s="73" t="str">
        <f t="shared" si="231"/>
        <v>SEP</v>
      </c>
      <c r="M255" s="73" t="str">
        <f t="shared" si="231"/>
        <v>OCT</v>
      </c>
      <c r="N255" s="73" t="str">
        <f t="shared" si="231"/>
        <v>NOV</v>
      </c>
      <c r="O255" s="73" t="str">
        <f t="shared" si="231"/>
        <v>DEC</v>
      </c>
      <c r="P255" s="73">
        <f t="shared" si="231"/>
        <v>2001</v>
      </c>
      <c r="Q255" s="73" t="str">
        <f t="shared" si="231"/>
        <v>Y-T-D</v>
      </c>
      <c r="R255" s="73" t="str">
        <f t="shared" si="231"/>
        <v>R.M.</v>
      </c>
      <c r="S255" s="60"/>
      <c r="T255" s="96" t="s">
        <v>5</v>
      </c>
      <c r="U255" s="96" t="s">
        <v>3</v>
      </c>
      <c r="V255" s="63"/>
      <c r="W255" s="63"/>
      <c r="X255" s="63"/>
      <c r="Y255" s="63"/>
      <c r="Z255" s="63"/>
      <c r="AA255" s="60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</row>
    <row r="256" spans="1:47" ht="6" customHeight="1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0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</row>
    <row r="257" spans="1:47">
      <c r="A257" s="83" t="str">
        <f>BACKUP!A13</f>
        <v>Cash / Temporary Cash Investments - End. Balance</v>
      </c>
      <c r="B257" s="63"/>
      <c r="C257" s="63"/>
      <c r="D257" s="75">
        <f>BACKUP!D13</f>
        <v>53</v>
      </c>
      <c r="E257" s="75">
        <f>BACKUP!E13</f>
        <v>53</v>
      </c>
      <c r="F257" s="75">
        <f>BACKUP!F13</f>
        <v>53</v>
      </c>
      <c r="G257" s="75">
        <f>BACKUP!G13</f>
        <v>53</v>
      </c>
      <c r="H257" s="75">
        <f>BACKUP!H13</f>
        <v>53</v>
      </c>
      <c r="I257" s="75">
        <f>BACKUP!I13</f>
        <v>53</v>
      </c>
      <c r="J257" s="75">
        <f>BACKUP!J13</f>
        <v>53</v>
      </c>
      <c r="K257" s="75">
        <f>BACKUP!K13</f>
        <v>53</v>
      </c>
      <c r="L257" s="75">
        <f>BACKUP!L13</f>
        <v>53</v>
      </c>
      <c r="M257" s="75">
        <f>BACKUP!M13</f>
        <v>53</v>
      </c>
      <c r="N257" s="75">
        <f>BACKUP!N13</f>
        <v>53</v>
      </c>
      <c r="O257" s="75">
        <f>BACKUP!O13</f>
        <v>53</v>
      </c>
      <c r="P257" s="75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0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</row>
    <row r="258" spans="1:47" ht="12" customHeight="1">
      <c r="A258" s="75" t="str">
        <f>BACKUP!A15</f>
        <v xml:space="preserve">      Change</v>
      </c>
      <c r="B258" s="63"/>
      <c r="C258" s="101" t="s">
        <v>444</v>
      </c>
      <c r="D258" s="75">
        <f>BACKUP!D15</f>
        <v>0</v>
      </c>
      <c r="E258" s="75">
        <f>BACKUP!E15</f>
        <v>0</v>
      </c>
      <c r="F258" s="75">
        <f>BACKUP!F15</f>
        <v>0</v>
      </c>
      <c r="G258" s="75">
        <f>BACKUP!G15</f>
        <v>0</v>
      </c>
      <c r="H258" s="75">
        <f>BACKUP!H15</f>
        <v>0</v>
      </c>
      <c r="I258" s="75">
        <f>BACKUP!I15</f>
        <v>0</v>
      </c>
      <c r="J258" s="75">
        <f>BACKUP!J15</f>
        <v>0</v>
      </c>
      <c r="K258" s="75">
        <f>BACKUP!K15</f>
        <v>0</v>
      </c>
      <c r="L258" s="75">
        <f>BACKUP!L15</f>
        <v>0</v>
      </c>
      <c r="M258" s="75">
        <f>BACKUP!M15</f>
        <v>0</v>
      </c>
      <c r="N258" s="75">
        <f>BACKUP!N15</f>
        <v>0</v>
      </c>
      <c r="O258" s="75">
        <f>BACKUP!O15</f>
        <v>0</v>
      </c>
      <c r="P258" s="75">
        <f>SUM(D258:O258)</f>
        <v>0</v>
      </c>
      <c r="Q258" s="76">
        <f>SUM(D258:J258)</f>
        <v>0</v>
      </c>
      <c r="R258" s="75">
        <f>P258-Q258</f>
        <v>0</v>
      </c>
      <c r="S258" s="63"/>
      <c r="T258" s="76">
        <v>0</v>
      </c>
      <c r="U258" s="76">
        <v>0</v>
      </c>
      <c r="V258" s="63"/>
      <c r="W258" s="63"/>
      <c r="X258" s="63"/>
      <c r="Y258" s="63"/>
      <c r="Z258" s="63"/>
      <c r="AA258" s="60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</row>
    <row r="259" spans="1:47">
      <c r="A259" s="63"/>
      <c r="B259" s="63"/>
      <c r="C259" s="101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75"/>
      <c r="V259" s="63"/>
      <c r="W259" s="63"/>
      <c r="X259" s="63"/>
      <c r="Y259" s="63"/>
      <c r="Z259" s="63"/>
      <c r="AA259" s="60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</row>
    <row r="260" spans="1:47">
      <c r="A260" s="83" t="str">
        <f>BACKUP!A132</f>
        <v>Investments &amp; Other Assets - End. Balance</v>
      </c>
      <c r="B260" s="63"/>
      <c r="C260" s="101"/>
      <c r="D260" s="75">
        <f>BACKUP!D132</f>
        <v>3728</v>
      </c>
      <c r="E260" s="75">
        <f>BACKUP!E132</f>
        <v>3728</v>
      </c>
      <c r="F260" s="75">
        <f>BACKUP!F132</f>
        <v>3728</v>
      </c>
      <c r="G260" s="75">
        <f>BACKUP!G132</f>
        <v>3728</v>
      </c>
      <c r="H260" s="75">
        <f>BACKUP!H132</f>
        <v>3728</v>
      </c>
      <c r="I260" s="75">
        <f>BACKUP!I132</f>
        <v>3728</v>
      </c>
      <c r="J260" s="75">
        <f>BACKUP!J132</f>
        <v>3728</v>
      </c>
      <c r="K260" s="75">
        <f>BACKUP!K132</f>
        <v>3728</v>
      </c>
      <c r="L260" s="75">
        <f>BACKUP!L132</f>
        <v>3728</v>
      </c>
      <c r="M260" s="75">
        <f>BACKUP!M132</f>
        <v>3728</v>
      </c>
      <c r="N260" s="75">
        <f>BACKUP!N132</f>
        <v>3728</v>
      </c>
      <c r="O260" s="75">
        <f>BACKUP!O132</f>
        <v>3728</v>
      </c>
      <c r="P260" s="75"/>
      <c r="Q260" s="75"/>
      <c r="R260" s="75"/>
      <c r="S260" s="63"/>
      <c r="T260" s="75"/>
      <c r="U260" s="75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</row>
    <row r="261" spans="1:47">
      <c r="A261" s="75" t="str">
        <f>BACKUP!A134</f>
        <v xml:space="preserve">      Change</v>
      </c>
      <c r="B261" s="63"/>
      <c r="C261" s="185" t="s">
        <v>500</v>
      </c>
      <c r="D261" s="75">
        <f>BACKUP!D134</f>
        <v>0</v>
      </c>
      <c r="E261" s="75">
        <f>BACKUP!E134</f>
        <v>0</v>
      </c>
      <c r="F261" s="75">
        <f>BACKUP!F134</f>
        <v>0</v>
      </c>
      <c r="G261" s="75">
        <f>BACKUP!G134</f>
        <v>0</v>
      </c>
      <c r="H261" s="75">
        <f>BACKUP!H134</f>
        <v>0</v>
      </c>
      <c r="I261" s="75">
        <f>BACKUP!I134</f>
        <v>0</v>
      </c>
      <c r="J261" s="75">
        <f>BACKUP!J134</f>
        <v>0</v>
      </c>
      <c r="K261" s="75">
        <f>BACKUP!K134</f>
        <v>0</v>
      </c>
      <c r="L261" s="75">
        <f>BACKUP!L134</f>
        <v>0</v>
      </c>
      <c r="M261" s="75">
        <f>BACKUP!M134</f>
        <v>0</v>
      </c>
      <c r="N261" s="75">
        <f>BACKUP!N134</f>
        <v>0</v>
      </c>
      <c r="O261" s="75">
        <f>BACKUP!O134</f>
        <v>0</v>
      </c>
      <c r="P261" s="75">
        <f>SUM(D261:O261)</f>
        <v>0</v>
      </c>
      <c r="Q261" s="76">
        <f>SUM(D261:J261)</f>
        <v>0</v>
      </c>
      <c r="R261" s="75">
        <f>P261-Q261</f>
        <v>0</v>
      </c>
      <c r="S261" s="63"/>
      <c r="T261" s="76">
        <v>0</v>
      </c>
      <c r="U261" s="76">
        <v>0</v>
      </c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</row>
    <row r="262" spans="1:47">
      <c r="A262" s="63"/>
      <c r="B262" s="63"/>
      <c r="C262" s="101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75"/>
      <c r="U262" s="75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</row>
    <row r="263" spans="1:47">
      <c r="A263" s="83" t="str">
        <f>BACKUP!A148</f>
        <v>Plant - Beg. Balance</v>
      </c>
      <c r="B263" s="63"/>
      <c r="C263" s="101"/>
      <c r="D263" s="75">
        <f>BACKUP!D148</f>
        <v>2743864</v>
      </c>
      <c r="E263" s="75">
        <f>BACKUP!E148</f>
        <v>2789700</v>
      </c>
      <c r="F263" s="75">
        <f>BACKUP!F148</f>
        <v>2799985</v>
      </c>
      <c r="G263" s="75">
        <f>BACKUP!G148</f>
        <v>2802242</v>
      </c>
      <c r="H263" s="75">
        <f>BACKUP!H148</f>
        <v>2797139</v>
      </c>
      <c r="I263" s="75">
        <f>BACKUP!I148</f>
        <v>2796071</v>
      </c>
      <c r="J263" s="75">
        <f>BACKUP!J148</f>
        <v>2790132</v>
      </c>
      <c r="K263" s="75">
        <f>BACKUP!K148</f>
        <v>2774979</v>
      </c>
      <c r="L263" s="75">
        <f>BACKUP!L148</f>
        <v>2783475</v>
      </c>
      <c r="M263" s="75">
        <f>BACKUP!M148</f>
        <v>2794875</v>
      </c>
      <c r="N263" s="75">
        <f>BACKUP!N148</f>
        <v>2803836</v>
      </c>
      <c r="O263" s="75">
        <f>BACKUP!O148</f>
        <v>2812795</v>
      </c>
      <c r="P263" s="75"/>
      <c r="Q263" s="75"/>
      <c r="R263" s="75"/>
      <c r="S263" s="63"/>
      <c r="T263" s="75"/>
      <c r="U263" s="75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</row>
    <row r="264" spans="1:47">
      <c r="A264" s="75" t="str">
        <f>BACKUP!A149</f>
        <v xml:space="preserve">   Capital Expenditures (Rudy) - Base Amt. </v>
      </c>
      <c r="B264" s="63"/>
      <c r="C264" s="101" t="s">
        <v>445</v>
      </c>
      <c r="D264" s="75">
        <f>BACKUP!D149</f>
        <v>2282</v>
      </c>
      <c r="E264" s="75">
        <f>BACKUP!E149</f>
        <v>-861</v>
      </c>
      <c r="F264" s="75">
        <f>BACKUP!F149</f>
        <v>3798</v>
      </c>
      <c r="G264" s="75">
        <f>BACKUP!G149</f>
        <v>4249</v>
      </c>
      <c r="H264" s="75">
        <f>BACKUP!H149</f>
        <v>3726</v>
      </c>
      <c r="I264" s="75">
        <f>BACKUP!I149</f>
        <v>932</v>
      </c>
      <c r="J264" s="75">
        <f>BACKUP!J149</f>
        <v>5769</v>
      </c>
      <c r="K264" s="75">
        <f>BACKUP!K149</f>
        <v>10518</v>
      </c>
      <c r="L264" s="75">
        <f>BACKUP!L149</f>
        <v>11400</v>
      </c>
      <c r="M264" s="75">
        <f>BACKUP!M149</f>
        <v>12961</v>
      </c>
      <c r="N264" s="75">
        <f>BACKUP!N149</f>
        <v>12959</v>
      </c>
      <c r="O264" s="75">
        <f>BACKUP!O149</f>
        <v>6568</v>
      </c>
      <c r="P264" s="75">
        <f t="shared" ref="P264:P273" si="232">SUM(D264:O264)</f>
        <v>74301</v>
      </c>
      <c r="Q264" s="76">
        <f t="shared" ref="Q264:Q274" si="233">SUM(D264:J264)</f>
        <v>19895</v>
      </c>
      <c r="R264" s="75">
        <f t="shared" ref="R264:R274" si="234">P264-Q264</f>
        <v>54406</v>
      </c>
      <c r="S264" s="63"/>
      <c r="T264" s="75"/>
      <c r="U264" s="75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</row>
    <row r="265" spans="1:47">
      <c r="A265" s="75" t="str">
        <f>BACKUP!A150</f>
        <v xml:space="preserve">              - Other</v>
      </c>
      <c r="B265" s="63"/>
      <c r="C265" s="101" t="s">
        <v>446</v>
      </c>
      <c r="D265" s="75">
        <f>BACKUP!D150</f>
        <v>0</v>
      </c>
      <c r="E265" s="75">
        <f>BACKUP!E150</f>
        <v>0</v>
      </c>
      <c r="F265" s="75">
        <f>BACKUP!F150</f>
        <v>0</v>
      </c>
      <c r="G265" s="75">
        <f>BACKUP!G150</f>
        <v>0</v>
      </c>
      <c r="H265" s="75">
        <f>BACKUP!H150</f>
        <v>0</v>
      </c>
      <c r="I265" s="75">
        <f>BACKUP!I150</f>
        <v>0</v>
      </c>
      <c r="J265" s="75">
        <f>BACKUP!J150</f>
        <v>0</v>
      </c>
      <c r="K265" s="75">
        <f>BACKUP!K150</f>
        <v>0</v>
      </c>
      <c r="L265" s="75">
        <f>BACKUP!L150</f>
        <v>0</v>
      </c>
      <c r="M265" s="75">
        <f>BACKUP!M150</f>
        <v>0</v>
      </c>
      <c r="N265" s="75">
        <f>BACKUP!N150</f>
        <v>0</v>
      </c>
      <c r="O265" s="75">
        <f>BACKUP!O150</f>
        <v>0</v>
      </c>
      <c r="P265" s="75">
        <f t="shared" si="232"/>
        <v>0</v>
      </c>
      <c r="Q265" s="76">
        <f t="shared" si="233"/>
        <v>0</v>
      </c>
      <c r="R265" s="75">
        <f t="shared" si="234"/>
        <v>0</v>
      </c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</row>
    <row r="266" spans="1:47">
      <c r="A266" s="75" t="str">
        <f>BACKUP!A151</f>
        <v xml:space="preserve">              - Year End Accrual Activity</v>
      </c>
      <c r="B266" s="63"/>
      <c r="C266" s="101" t="s">
        <v>445</v>
      </c>
      <c r="D266" s="75">
        <f>BACKUP!D151</f>
        <v>-2002</v>
      </c>
      <c r="E266" s="75">
        <f>BACKUP!E151</f>
        <v>0</v>
      </c>
      <c r="F266" s="75">
        <f>BACKUP!F151</f>
        <v>0</v>
      </c>
      <c r="G266" s="75">
        <f>BACKUP!G151</f>
        <v>0</v>
      </c>
      <c r="H266" s="75">
        <f>BACKUP!H151</f>
        <v>0</v>
      </c>
      <c r="I266" s="75">
        <f>BACKUP!I151</f>
        <v>0</v>
      </c>
      <c r="J266" s="75">
        <f>BACKUP!J151</f>
        <v>0</v>
      </c>
      <c r="K266" s="75">
        <f>BACKUP!K151</f>
        <v>0</v>
      </c>
      <c r="L266" s="75">
        <f>BACKUP!L151</f>
        <v>0</v>
      </c>
      <c r="M266" s="75">
        <f>BACKUP!M151</f>
        <v>0</v>
      </c>
      <c r="N266" s="75">
        <f>BACKUP!N151</f>
        <v>0</v>
      </c>
      <c r="O266" s="75">
        <f>BACKUP!O151</f>
        <v>2002</v>
      </c>
      <c r="P266" s="75">
        <f t="shared" si="232"/>
        <v>0</v>
      </c>
      <c r="Q266" s="76">
        <f t="shared" si="233"/>
        <v>-2002</v>
      </c>
      <c r="R266" s="75">
        <f t="shared" si="234"/>
        <v>2002</v>
      </c>
      <c r="S266" s="63"/>
      <c r="T266" s="63"/>
      <c r="U266" s="75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</row>
    <row r="267" spans="1:47">
      <c r="A267" s="75" t="str">
        <f>BACKUP!A152</f>
        <v xml:space="preserve">              - Additional O&amp;M Capitalization</v>
      </c>
      <c r="B267" s="63"/>
      <c r="C267" s="101" t="s">
        <v>445</v>
      </c>
      <c r="D267" s="75">
        <f>BACKUP!D152</f>
        <v>0</v>
      </c>
      <c r="E267" s="75">
        <f>BACKUP!E152</f>
        <v>0</v>
      </c>
      <c r="F267" s="75">
        <f>BACKUP!F152</f>
        <v>0</v>
      </c>
      <c r="G267" s="75">
        <f>BACKUP!G152</f>
        <v>0</v>
      </c>
      <c r="H267" s="75">
        <f>BACKUP!H152</f>
        <v>0</v>
      </c>
      <c r="I267" s="75">
        <f>BACKUP!I152</f>
        <v>0</v>
      </c>
      <c r="J267" s="75">
        <f>BACKUP!J152</f>
        <v>0</v>
      </c>
      <c r="K267" s="75">
        <f>BACKUP!K152</f>
        <v>0</v>
      </c>
      <c r="L267" s="75">
        <f>BACKUP!L152</f>
        <v>0</v>
      </c>
      <c r="M267" s="75">
        <f>BACKUP!M152</f>
        <v>0</v>
      </c>
      <c r="N267" s="75">
        <f>BACKUP!N152</f>
        <v>0</v>
      </c>
      <c r="O267" s="75">
        <f>BACKUP!O152</f>
        <v>0</v>
      </c>
      <c r="P267" s="75">
        <f t="shared" si="232"/>
        <v>0</v>
      </c>
      <c r="Q267" s="76">
        <f t="shared" si="233"/>
        <v>0</v>
      </c>
      <c r="R267" s="75">
        <f t="shared" si="234"/>
        <v>0</v>
      </c>
      <c r="S267" s="63"/>
      <c r="T267" s="63"/>
      <c r="U267" s="75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</row>
    <row r="268" spans="1:47">
      <c r="A268" s="75" t="str">
        <f>BACKUP!A153</f>
        <v xml:space="preserve">   AFUDC</v>
      </c>
      <c r="B268" s="63"/>
      <c r="C268" s="101" t="s">
        <v>444</v>
      </c>
      <c r="D268" s="75">
        <f>BACKUP!D153</f>
        <v>0</v>
      </c>
      <c r="E268" s="75">
        <f>BACKUP!E153</f>
        <v>0</v>
      </c>
      <c r="F268" s="75">
        <f>BACKUP!F153</f>
        <v>0</v>
      </c>
      <c r="G268" s="75">
        <f>BACKUP!G153</f>
        <v>0</v>
      </c>
      <c r="H268" s="75">
        <f>BACKUP!H153</f>
        <v>0</v>
      </c>
      <c r="I268" s="75">
        <f>BACKUP!I153</f>
        <v>0</v>
      </c>
      <c r="J268" s="75">
        <f>BACKUP!J153</f>
        <v>0</v>
      </c>
      <c r="K268" s="75">
        <f>BACKUP!K153</f>
        <v>0</v>
      </c>
      <c r="L268" s="75">
        <f>BACKUP!L153</f>
        <v>0</v>
      </c>
      <c r="M268" s="75">
        <f>BACKUP!M153</f>
        <v>0</v>
      </c>
      <c r="N268" s="75">
        <f>BACKUP!N153</f>
        <v>0</v>
      </c>
      <c r="O268" s="75">
        <f>BACKUP!O153</f>
        <v>0</v>
      </c>
      <c r="P268" s="75">
        <f t="shared" si="232"/>
        <v>0</v>
      </c>
      <c r="Q268" s="76">
        <f t="shared" si="233"/>
        <v>0</v>
      </c>
      <c r="R268" s="75">
        <f t="shared" si="234"/>
        <v>0</v>
      </c>
      <c r="S268" s="63"/>
      <c r="T268" s="76"/>
      <c r="U268" s="76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</row>
    <row r="269" spans="1:47">
      <c r="A269" s="75" t="str">
        <f>BACKUP!A154</f>
        <v xml:space="preserve">   Asset Sales - Net Plant </v>
      </c>
      <c r="B269" s="63"/>
      <c r="C269" s="101" t="s">
        <v>447</v>
      </c>
      <c r="D269" s="75">
        <f>BACKUP!D154</f>
        <v>0</v>
      </c>
      <c r="E269" s="75">
        <f>BACKUP!E154</f>
        <v>0</v>
      </c>
      <c r="F269" s="75">
        <f>BACKUP!F154</f>
        <v>0</v>
      </c>
      <c r="G269" s="75">
        <f>BACKUP!G154</f>
        <v>0</v>
      </c>
      <c r="H269" s="75">
        <f>BACKUP!H154</f>
        <v>0</v>
      </c>
      <c r="I269" s="75">
        <f>BACKUP!I154</f>
        <v>0</v>
      </c>
      <c r="J269" s="75">
        <f>BACKUP!J154</f>
        <v>0</v>
      </c>
      <c r="K269" s="75">
        <f>BACKUP!K154</f>
        <v>0</v>
      </c>
      <c r="L269" s="75">
        <f>BACKUP!L154</f>
        <v>0</v>
      </c>
      <c r="M269" s="75">
        <f>BACKUP!M154</f>
        <v>0</v>
      </c>
      <c r="N269" s="75">
        <f>BACKUP!N154</f>
        <v>0</v>
      </c>
      <c r="O269" s="75">
        <f>BACKUP!O154</f>
        <v>0</v>
      </c>
      <c r="P269" s="75">
        <f t="shared" si="232"/>
        <v>0</v>
      </c>
      <c r="Q269" s="76">
        <f t="shared" si="233"/>
        <v>0</v>
      </c>
      <c r="R269" s="75">
        <f t="shared" si="234"/>
        <v>0</v>
      </c>
      <c r="S269" s="63"/>
      <c r="T269" s="63"/>
      <c r="U269" s="75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</row>
    <row r="270" spans="1:47">
      <c r="A270" s="75" t="str">
        <f>BACKUP!A155</f>
        <v xml:space="preserve">                      - Net Plant </v>
      </c>
      <c r="B270" s="63"/>
      <c r="C270" s="101" t="s">
        <v>447</v>
      </c>
      <c r="D270" s="75">
        <f>BACKUP!D155</f>
        <v>0</v>
      </c>
      <c r="E270" s="75">
        <f>BACKUP!E155</f>
        <v>0</v>
      </c>
      <c r="F270" s="75">
        <f>BACKUP!F155</f>
        <v>0</v>
      </c>
      <c r="G270" s="75">
        <f>BACKUP!G155</f>
        <v>0</v>
      </c>
      <c r="H270" s="75">
        <f>BACKUP!H155</f>
        <v>0</v>
      </c>
      <c r="I270" s="75">
        <f>BACKUP!I155</f>
        <v>0</v>
      </c>
      <c r="J270" s="75">
        <f>BACKUP!J155</f>
        <v>0</v>
      </c>
      <c r="K270" s="75">
        <f>BACKUP!K155</f>
        <v>0</v>
      </c>
      <c r="L270" s="75">
        <f>BACKUP!L155</f>
        <v>0</v>
      </c>
      <c r="M270" s="75">
        <f>BACKUP!M155</f>
        <v>0</v>
      </c>
      <c r="N270" s="75">
        <f>BACKUP!N155</f>
        <v>0</v>
      </c>
      <c r="O270" s="75">
        <f>BACKUP!O155</f>
        <v>0</v>
      </c>
      <c r="P270" s="75">
        <f t="shared" si="232"/>
        <v>0</v>
      </c>
      <c r="Q270" s="76">
        <f t="shared" si="233"/>
        <v>0</v>
      </c>
      <c r="R270" s="75">
        <f t="shared" si="234"/>
        <v>0</v>
      </c>
      <c r="S270" s="63"/>
      <c r="T270" s="63"/>
      <c r="U270" s="75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</row>
    <row r="271" spans="1:47">
      <c r="A271" s="75" t="str">
        <f>BACKUP!A156</f>
        <v xml:space="preserve">   Plant / Reserve Adjustments</v>
      </c>
      <c r="B271" s="63"/>
      <c r="C271" s="101" t="s">
        <v>444</v>
      </c>
      <c r="D271" s="75">
        <f>BACKUP!D156</f>
        <v>0</v>
      </c>
      <c r="E271" s="75">
        <f>BACKUP!E156</f>
        <v>0</v>
      </c>
      <c r="F271" s="75">
        <f>BACKUP!F156</f>
        <v>0</v>
      </c>
      <c r="G271" s="75">
        <f>BACKUP!G156</f>
        <v>0</v>
      </c>
      <c r="H271" s="75">
        <f>BACKUP!H156</f>
        <v>0</v>
      </c>
      <c r="I271" s="75">
        <f>BACKUP!I156</f>
        <v>0</v>
      </c>
      <c r="J271" s="75">
        <f>BACKUP!J156</f>
        <v>0</v>
      </c>
      <c r="K271" s="75">
        <f>BACKUP!K156</f>
        <v>0</v>
      </c>
      <c r="L271" s="75">
        <f>BACKUP!L156</f>
        <v>0</v>
      </c>
      <c r="M271" s="75">
        <f>BACKUP!M156</f>
        <v>0</v>
      </c>
      <c r="N271" s="75">
        <f>BACKUP!N156</f>
        <v>0</v>
      </c>
      <c r="O271" s="75">
        <f>BACKUP!O156</f>
        <v>0</v>
      </c>
      <c r="P271" s="75">
        <f t="shared" si="232"/>
        <v>0</v>
      </c>
      <c r="Q271" s="76">
        <f t="shared" si="233"/>
        <v>0</v>
      </c>
      <c r="R271" s="75">
        <f t="shared" si="234"/>
        <v>0</v>
      </c>
      <c r="S271" s="63"/>
      <c r="T271" s="63"/>
      <c r="U271" s="75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</row>
    <row r="272" spans="1:47">
      <c r="A272" s="75" t="str">
        <f>BACKUP!A157</f>
        <v xml:space="preserve">   Storage Imbalance (Acct. 117.4 - 12/31/00 - 9.371 Bcf) </v>
      </c>
      <c r="B272" s="63"/>
      <c r="C272" s="101" t="s">
        <v>446</v>
      </c>
      <c r="D272" s="75">
        <f>BACKUP!D157</f>
        <v>45815</v>
      </c>
      <c r="E272" s="75">
        <f>BACKUP!E157</f>
        <v>11146</v>
      </c>
      <c r="F272" s="75">
        <f>BACKUP!F157</f>
        <v>-1541</v>
      </c>
      <c r="G272" s="75">
        <f>BACKUP!G157</f>
        <v>-9352</v>
      </c>
      <c r="H272" s="75">
        <f>BACKUP!H157</f>
        <v>-4794</v>
      </c>
      <c r="I272" s="75">
        <f>BACKUP!I157</f>
        <v>-4071</v>
      </c>
      <c r="J272" s="75">
        <f>BACKUP!J157</f>
        <v>-3220</v>
      </c>
      <c r="K272" s="75">
        <f>BACKUP!K157</f>
        <v>-2022</v>
      </c>
      <c r="L272" s="75">
        <f>BACKUP!L157</f>
        <v>0</v>
      </c>
      <c r="M272" s="75">
        <f>BACKUP!M157</f>
        <v>-4000</v>
      </c>
      <c r="N272" s="75">
        <f>BACKUP!N157</f>
        <v>-4000</v>
      </c>
      <c r="O272" s="75">
        <f>BACKUP!O157</f>
        <v>-4000</v>
      </c>
      <c r="P272" s="75">
        <f t="shared" si="232"/>
        <v>19961</v>
      </c>
      <c r="Q272" s="76">
        <f t="shared" si="233"/>
        <v>33983</v>
      </c>
      <c r="R272" s="75">
        <f t="shared" si="234"/>
        <v>-14022</v>
      </c>
      <c r="S272" s="63"/>
      <c r="T272" s="76">
        <v>0</v>
      </c>
      <c r="U272" s="76">
        <v>0</v>
      </c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</row>
    <row r="273" spans="1:47">
      <c r="A273" s="75" t="str">
        <f>BACKUP!A158</f>
        <v xml:space="preserve">   Retirements at Cost </v>
      </c>
      <c r="B273" s="63"/>
      <c r="C273" s="101" t="s">
        <v>444</v>
      </c>
      <c r="D273" s="75">
        <f>BACKUP!D158</f>
        <v>-259</v>
      </c>
      <c r="E273" s="75">
        <f>BACKUP!E158</f>
        <v>0</v>
      </c>
      <c r="F273" s="75">
        <f>BACKUP!F158</f>
        <v>0</v>
      </c>
      <c r="G273" s="75">
        <f>BACKUP!G158</f>
        <v>0</v>
      </c>
      <c r="H273" s="75">
        <f>BACKUP!H158</f>
        <v>0</v>
      </c>
      <c r="I273" s="75">
        <f>BACKUP!I158</f>
        <v>-2800</v>
      </c>
      <c r="J273" s="75">
        <f>BACKUP!J158</f>
        <v>-17702</v>
      </c>
      <c r="K273" s="75">
        <f>BACKUP!K158</f>
        <v>0</v>
      </c>
      <c r="L273" s="75">
        <f>BACKUP!L158</f>
        <v>0</v>
      </c>
      <c r="M273" s="75">
        <f>BACKUP!M158</f>
        <v>0</v>
      </c>
      <c r="N273" s="75">
        <f>BACKUP!N158</f>
        <v>0</v>
      </c>
      <c r="O273" s="75">
        <f>BACKUP!O158</f>
        <v>0</v>
      </c>
      <c r="P273" s="75">
        <f t="shared" si="232"/>
        <v>-20761</v>
      </c>
      <c r="Q273" s="76">
        <f t="shared" si="233"/>
        <v>-20761</v>
      </c>
      <c r="R273" s="75">
        <f t="shared" si="234"/>
        <v>0</v>
      </c>
      <c r="S273" s="63"/>
      <c r="T273" s="63"/>
      <c r="U273" s="75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</row>
    <row r="274" spans="1:47">
      <c r="A274" s="75" t="str">
        <f>BACKUP!A159</f>
        <v xml:space="preserve">   Actual / Estimate Adjustment</v>
      </c>
      <c r="B274" s="63"/>
      <c r="C274" s="101" t="s">
        <v>448</v>
      </c>
      <c r="D274" s="80">
        <f>BACKUP!D159</f>
        <v>0</v>
      </c>
      <c r="E274" s="80">
        <f>BACKUP!E159</f>
        <v>0</v>
      </c>
      <c r="F274" s="80">
        <f>BACKUP!F159</f>
        <v>0</v>
      </c>
      <c r="G274" s="80">
        <f>BACKUP!G159</f>
        <v>0</v>
      </c>
      <c r="H274" s="80">
        <f>BACKUP!H159</f>
        <v>0</v>
      </c>
      <c r="I274" s="80">
        <f>BACKUP!I159</f>
        <v>0</v>
      </c>
      <c r="J274" s="80">
        <f>BACKUP!J159</f>
        <v>0</v>
      </c>
      <c r="K274" s="80">
        <f>BACKUP!K159</f>
        <v>0</v>
      </c>
      <c r="L274" s="80">
        <f>BACKUP!L159</f>
        <v>0</v>
      </c>
      <c r="M274" s="80">
        <f>BACKUP!M159</f>
        <v>0</v>
      </c>
      <c r="N274" s="80">
        <f>BACKUP!N159</f>
        <v>0</v>
      </c>
      <c r="O274" s="80">
        <f>BACKUP!O159</f>
        <v>0</v>
      </c>
      <c r="P274" s="75">
        <f>SUM(D267:O267)</f>
        <v>0</v>
      </c>
      <c r="Q274" s="76">
        <f t="shared" si="233"/>
        <v>0</v>
      </c>
      <c r="R274" s="75">
        <f t="shared" si="234"/>
        <v>0</v>
      </c>
      <c r="S274" s="63"/>
      <c r="T274" s="75"/>
      <c r="U274" s="75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</row>
    <row r="275" spans="1:47" ht="3.95" customHeight="1">
      <c r="A275" s="63"/>
      <c r="B275" s="63"/>
      <c r="C275" s="101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63"/>
      <c r="T275" s="75"/>
      <c r="U275" s="75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</row>
    <row r="276" spans="1:47">
      <c r="A276" s="83" t="str">
        <f>BACKUP!A161</f>
        <v>Plant - End. Balance</v>
      </c>
      <c r="B276" s="63"/>
      <c r="C276" s="101"/>
      <c r="D276" s="80">
        <f>BACKUP!D161</f>
        <v>2789700</v>
      </c>
      <c r="E276" s="80">
        <f>BACKUP!E161</f>
        <v>2799985</v>
      </c>
      <c r="F276" s="80">
        <f>BACKUP!F161</f>
        <v>2802242</v>
      </c>
      <c r="G276" s="80">
        <f>BACKUP!G161</f>
        <v>2797139</v>
      </c>
      <c r="H276" s="80">
        <f>BACKUP!H161</f>
        <v>2796071</v>
      </c>
      <c r="I276" s="80">
        <f>BACKUP!I161</f>
        <v>2790132</v>
      </c>
      <c r="J276" s="80">
        <f>BACKUP!J161</f>
        <v>2774979</v>
      </c>
      <c r="K276" s="80">
        <f>BACKUP!K161</f>
        <v>2783475</v>
      </c>
      <c r="L276" s="80">
        <f>BACKUP!L161</f>
        <v>2794875</v>
      </c>
      <c r="M276" s="80">
        <f>BACKUP!M161</f>
        <v>2803836</v>
      </c>
      <c r="N276" s="80">
        <f>BACKUP!N161</f>
        <v>2812795</v>
      </c>
      <c r="O276" s="80">
        <f>BACKUP!O161</f>
        <v>2817365</v>
      </c>
      <c r="P276" s="75"/>
      <c r="Q276" s="75"/>
      <c r="R276" s="75"/>
      <c r="S276" s="63"/>
      <c r="T276" s="75"/>
      <c r="U276" s="75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</row>
    <row r="277" spans="1:47">
      <c r="A277" s="63"/>
      <c r="B277" s="63"/>
      <c r="C277" s="101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75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</row>
    <row r="278" spans="1:47">
      <c r="A278" s="83" t="str">
        <f>BACKUP!A165</f>
        <v>Accumulated Depreciation - Beg. Balance</v>
      </c>
      <c r="B278" s="63"/>
      <c r="C278" s="101"/>
      <c r="D278" s="75">
        <f>BACKUP!D165</f>
        <v>1442835</v>
      </c>
      <c r="E278" s="75">
        <f>BACKUP!E165</f>
        <v>1446637</v>
      </c>
      <c r="F278" s="75">
        <f>BACKUP!F165</f>
        <v>1450495</v>
      </c>
      <c r="G278" s="75">
        <f>BACKUP!G165</f>
        <v>1454095</v>
      </c>
      <c r="H278" s="75">
        <f>BACKUP!H165</f>
        <v>1457697</v>
      </c>
      <c r="I278" s="75">
        <f>BACKUP!I165</f>
        <v>1463022</v>
      </c>
      <c r="J278" s="75">
        <f>BACKUP!J165</f>
        <v>1464768</v>
      </c>
      <c r="K278" s="75">
        <f>BACKUP!K165</f>
        <v>1450869</v>
      </c>
      <c r="L278" s="75">
        <f>BACKUP!L165</f>
        <v>1454669</v>
      </c>
      <c r="M278" s="75">
        <f>BACKUP!M165</f>
        <v>1458514</v>
      </c>
      <c r="N278" s="75">
        <f>BACKUP!N165</f>
        <v>1463659</v>
      </c>
      <c r="O278" s="75">
        <f>BACKUP!O165</f>
        <v>1467554</v>
      </c>
      <c r="P278" s="63"/>
      <c r="Q278" s="63"/>
      <c r="R278" s="63"/>
      <c r="S278" s="63"/>
      <c r="T278" s="75"/>
      <c r="U278" s="75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</row>
    <row r="279" spans="1:47">
      <c r="A279" s="75" t="str">
        <f>BACKUP!A166</f>
        <v xml:space="preserve">   Depreciation Expense</v>
      </c>
      <c r="B279" s="63"/>
      <c r="C279" s="101" t="s">
        <v>449</v>
      </c>
      <c r="D279" s="75">
        <f>BACKUP!D166</f>
        <v>2731</v>
      </c>
      <c r="E279" s="75">
        <f>BACKUP!E166</f>
        <v>2675</v>
      </c>
      <c r="F279" s="75">
        <f>BACKUP!F166</f>
        <v>2871</v>
      </c>
      <c r="G279" s="75">
        <f>BACKUP!G166</f>
        <v>2719</v>
      </c>
      <c r="H279" s="75">
        <f>BACKUP!H166</f>
        <v>2665</v>
      </c>
      <c r="I279" s="75">
        <f>BACKUP!I166</f>
        <v>2909</v>
      </c>
      <c r="J279" s="75">
        <f>BACKUP!J166</f>
        <v>2761</v>
      </c>
      <c r="K279" s="75">
        <f>BACKUP!K166</f>
        <v>2765</v>
      </c>
      <c r="L279" s="75">
        <f>BACKUP!L166</f>
        <v>2775</v>
      </c>
      <c r="M279" s="75">
        <f>BACKUP!M166</f>
        <v>4076</v>
      </c>
      <c r="N279" s="75">
        <f>BACKUP!N166</f>
        <v>3317</v>
      </c>
      <c r="O279" s="75">
        <f>BACKUP!O166</f>
        <v>3368</v>
      </c>
      <c r="P279" s="75">
        <f t="shared" ref="P279:P287" si="235">SUM(D279:O279)</f>
        <v>35632</v>
      </c>
      <c r="Q279" s="76">
        <f t="shared" ref="Q279:Q287" si="236">SUM(D279:J279)</f>
        <v>19331</v>
      </c>
      <c r="R279" s="75">
        <f t="shared" ref="R279:R287" si="237">P279-Q279</f>
        <v>16301</v>
      </c>
      <c r="S279" s="63"/>
      <c r="T279" s="75"/>
      <c r="U279" s="75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</row>
    <row r="280" spans="1:47">
      <c r="A280" s="75" t="str">
        <f>BACKUP!A167</f>
        <v xml:space="preserve">   Plant Amortization</v>
      </c>
      <c r="B280" s="63"/>
      <c r="C280" s="101" t="s">
        <v>449</v>
      </c>
      <c r="D280" s="75">
        <f>BACKUP!D167</f>
        <v>1082</v>
      </c>
      <c r="E280" s="75">
        <f>BACKUP!E167</f>
        <v>1150</v>
      </c>
      <c r="F280" s="75">
        <f>BACKUP!F167</f>
        <v>1001</v>
      </c>
      <c r="G280" s="75">
        <f>BACKUP!G167</f>
        <v>1063</v>
      </c>
      <c r="H280" s="75">
        <f>BACKUP!H167</f>
        <v>1062</v>
      </c>
      <c r="I280" s="75">
        <f>BACKUP!I167</f>
        <v>1062</v>
      </c>
      <c r="J280" s="75">
        <f>BACKUP!J167</f>
        <v>1062</v>
      </c>
      <c r="K280" s="75">
        <f>BACKUP!K167</f>
        <v>1062</v>
      </c>
      <c r="L280" s="75">
        <f>BACKUP!L167</f>
        <v>1097</v>
      </c>
      <c r="M280" s="75">
        <f>BACKUP!M167</f>
        <v>1096</v>
      </c>
      <c r="N280" s="75">
        <f>BACKUP!N167</f>
        <v>605</v>
      </c>
      <c r="O280" s="75">
        <f>BACKUP!O167</f>
        <v>604</v>
      </c>
      <c r="P280" s="75">
        <f t="shared" si="235"/>
        <v>11946</v>
      </c>
      <c r="Q280" s="76">
        <f t="shared" si="236"/>
        <v>7482</v>
      </c>
      <c r="R280" s="75">
        <f t="shared" si="237"/>
        <v>4464</v>
      </c>
      <c r="S280" s="63"/>
      <c r="T280" s="63"/>
      <c r="U280" s="75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</row>
    <row r="281" spans="1:47">
      <c r="A281" s="75" t="str">
        <f>BACKUP!A168</f>
        <v xml:space="preserve">   Removals (Summary of Property Changes)</v>
      </c>
      <c r="B281" s="63"/>
      <c r="C281" s="101" t="s">
        <v>489</v>
      </c>
      <c r="D281" s="75">
        <f>BACKUP!D168</f>
        <v>4</v>
      </c>
      <c r="E281" s="75">
        <f>BACKUP!E168</f>
        <v>11</v>
      </c>
      <c r="F281" s="75">
        <f>BACKUP!F168</f>
        <v>-247</v>
      </c>
      <c r="G281" s="75">
        <f>BACKUP!G168</f>
        <v>-108</v>
      </c>
      <c r="H281" s="75">
        <f>BACKUP!H168</f>
        <v>1625</v>
      </c>
      <c r="I281" s="75">
        <f>BACKUP!I168</f>
        <v>-2198</v>
      </c>
      <c r="J281" s="75">
        <f>BACKUP!J168</f>
        <v>8</v>
      </c>
      <c r="K281" s="75">
        <f>BACKUP!K168</f>
        <v>0</v>
      </c>
      <c r="L281" s="75">
        <f>BACKUP!L168</f>
        <v>0</v>
      </c>
      <c r="M281" s="75">
        <f>BACKUP!M168</f>
        <v>0</v>
      </c>
      <c r="N281" s="75">
        <f>BACKUP!N168</f>
        <v>0</v>
      </c>
      <c r="O281" s="75">
        <f>BACKUP!O168</f>
        <v>0</v>
      </c>
      <c r="P281" s="75">
        <f t="shared" si="235"/>
        <v>-905</v>
      </c>
      <c r="Q281" s="76">
        <f t="shared" si="236"/>
        <v>-905</v>
      </c>
      <c r="R281" s="75">
        <f t="shared" si="237"/>
        <v>0</v>
      </c>
      <c r="S281" s="63"/>
      <c r="T281" s="63"/>
      <c r="U281" s="75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</row>
    <row r="282" spans="1:47">
      <c r="A282" s="75" t="str">
        <f>BACKUP!A169</f>
        <v xml:space="preserve">   Salvage (Summary of Property Changes)</v>
      </c>
      <c r="B282" s="63"/>
      <c r="C282" s="101" t="s">
        <v>489</v>
      </c>
      <c r="D282" s="75">
        <f>BACKUP!D169</f>
        <v>0</v>
      </c>
      <c r="E282" s="75">
        <f>BACKUP!E169</f>
        <v>0</v>
      </c>
      <c r="F282" s="75">
        <f>BACKUP!F169</f>
        <v>0</v>
      </c>
      <c r="G282" s="75">
        <f>BACKUP!G169</f>
        <v>0</v>
      </c>
      <c r="H282" s="75">
        <f>BACKUP!H169</f>
        <v>0</v>
      </c>
      <c r="I282" s="75">
        <f>BACKUP!I169</f>
        <v>0</v>
      </c>
      <c r="J282" s="75">
        <f>BACKUP!J169</f>
        <v>0</v>
      </c>
      <c r="K282" s="75">
        <f>BACKUP!K169</f>
        <v>0</v>
      </c>
      <c r="L282" s="75">
        <f>BACKUP!L169</f>
        <v>0</v>
      </c>
      <c r="M282" s="75">
        <f>BACKUP!M169</f>
        <v>0</v>
      </c>
      <c r="N282" s="75">
        <f>BACKUP!N169</f>
        <v>0</v>
      </c>
      <c r="O282" s="75">
        <f>BACKUP!O169</f>
        <v>0</v>
      </c>
      <c r="P282" s="75">
        <f t="shared" si="235"/>
        <v>0</v>
      </c>
      <c r="Q282" s="76">
        <f t="shared" si="236"/>
        <v>0</v>
      </c>
      <c r="R282" s="75">
        <f t="shared" si="237"/>
        <v>0</v>
      </c>
      <c r="S282" s="63"/>
      <c r="T282" s="75"/>
      <c r="U282" s="75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</row>
    <row r="283" spans="1:47">
      <c r="A283" s="75" t="str">
        <f>BACKUP!A170</f>
        <v xml:space="preserve">   Plant Acquisitions Adjustments</v>
      </c>
      <c r="B283" s="63"/>
      <c r="C283" s="101" t="s">
        <v>445</v>
      </c>
      <c r="D283" s="75">
        <f>BACKUP!D170</f>
        <v>0</v>
      </c>
      <c r="E283" s="75">
        <f>BACKUP!E170</f>
        <v>0</v>
      </c>
      <c r="F283" s="75">
        <f>BACKUP!F170</f>
        <v>0</v>
      </c>
      <c r="G283" s="75">
        <f>BACKUP!G170</f>
        <v>0</v>
      </c>
      <c r="H283" s="75">
        <f>BACKUP!H170</f>
        <v>0</v>
      </c>
      <c r="I283" s="75">
        <f>BACKUP!I170</f>
        <v>0</v>
      </c>
      <c r="J283" s="75">
        <f>BACKUP!J170</f>
        <v>0</v>
      </c>
      <c r="K283" s="75">
        <f>BACKUP!K170</f>
        <v>0</v>
      </c>
      <c r="L283" s="75">
        <f>BACKUP!L170</f>
        <v>0</v>
      </c>
      <c r="M283" s="75">
        <f>BACKUP!M170</f>
        <v>0</v>
      </c>
      <c r="N283" s="75">
        <f>BACKUP!N170</f>
        <v>0</v>
      </c>
      <c r="O283" s="75">
        <f>BACKUP!O170</f>
        <v>0</v>
      </c>
      <c r="P283" s="75">
        <f t="shared" si="235"/>
        <v>0</v>
      </c>
      <c r="Q283" s="76">
        <f t="shared" si="236"/>
        <v>0</v>
      </c>
      <c r="R283" s="75">
        <f t="shared" si="237"/>
        <v>0</v>
      </c>
      <c r="S283" s="63"/>
      <c r="T283" s="75"/>
      <c r="U283" s="75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</row>
    <row r="284" spans="1:47">
      <c r="A284" s="75" t="str">
        <f>BACKUP!A171</f>
        <v xml:space="preserve">   Pipe Recoating / Plant / Reserve Adjustments</v>
      </c>
      <c r="B284" s="63"/>
      <c r="C284" s="101" t="s">
        <v>444</v>
      </c>
      <c r="D284" s="75">
        <f>BACKUP!D171</f>
        <v>-23</v>
      </c>
      <c r="E284" s="75">
        <f>BACKUP!E171</f>
        <v>22</v>
      </c>
      <c r="F284" s="75">
        <f>BACKUP!F171</f>
        <v>-25</v>
      </c>
      <c r="G284" s="75">
        <f>BACKUP!G171</f>
        <v>-72</v>
      </c>
      <c r="H284" s="75">
        <f>BACKUP!H171</f>
        <v>-27</v>
      </c>
      <c r="I284" s="75">
        <f>BACKUP!I171</f>
        <v>-27</v>
      </c>
      <c r="J284" s="75">
        <f>BACKUP!J171</f>
        <v>-27</v>
      </c>
      <c r="K284" s="75">
        <f>BACKUP!K171</f>
        <v>-27</v>
      </c>
      <c r="L284" s="75">
        <f>BACKUP!L171</f>
        <v>-27</v>
      </c>
      <c r="M284" s="75">
        <f>BACKUP!M171</f>
        <v>-27</v>
      </c>
      <c r="N284" s="75">
        <f>BACKUP!N171</f>
        <v>-27</v>
      </c>
      <c r="O284" s="75">
        <f>BACKUP!O171</f>
        <v>-27</v>
      </c>
      <c r="P284" s="75">
        <f t="shared" si="235"/>
        <v>-314</v>
      </c>
      <c r="Q284" s="76">
        <f t="shared" si="236"/>
        <v>-179</v>
      </c>
      <c r="R284" s="75">
        <f t="shared" si="237"/>
        <v>-135</v>
      </c>
      <c r="S284" s="63"/>
      <c r="T284" s="76">
        <v>0</v>
      </c>
      <c r="U284" s="76">
        <v>0</v>
      </c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</row>
    <row r="285" spans="1:47">
      <c r="A285" s="75" t="str">
        <f>BACKUP!A172</f>
        <v xml:space="preserve">   Asset Sales </v>
      </c>
      <c r="B285" s="63"/>
      <c r="C285" s="101" t="s">
        <v>447</v>
      </c>
      <c r="D285" s="75">
        <f>BACKUP!D172</f>
        <v>0</v>
      </c>
      <c r="E285" s="75">
        <f>BACKUP!E172</f>
        <v>0</v>
      </c>
      <c r="F285" s="75">
        <f>BACKUP!F172</f>
        <v>0</v>
      </c>
      <c r="G285" s="75">
        <f>BACKUP!G172</f>
        <v>0</v>
      </c>
      <c r="H285" s="75">
        <f>BACKUP!H172</f>
        <v>0</v>
      </c>
      <c r="I285" s="75">
        <f>BACKUP!I172</f>
        <v>0</v>
      </c>
      <c r="J285" s="75">
        <f>BACKUP!J172</f>
        <v>0</v>
      </c>
      <c r="K285" s="75">
        <f>BACKUP!K172</f>
        <v>0</v>
      </c>
      <c r="L285" s="75">
        <f>BACKUP!L172</f>
        <v>0</v>
      </c>
      <c r="M285" s="75">
        <f>BACKUP!M172</f>
        <v>0</v>
      </c>
      <c r="N285" s="75">
        <f>BACKUP!N172</f>
        <v>0</v>
      </c>
      <c r="O285" s="75">
        <f>BACKUP!O172</f>
        <v>0</v>
      </c>
      <c r="P285" s="75">
        <f t="shared" si="235"/>
        <v>0</v>
      </c>
      <c r="Q285" s="76">
        <f t="shared" si="236"/>
        <v>0</v>
      </c>
      <c r="R285" s="75">
        <f t="shared" si="237"/>
        <v>0</v>
      </c>
      <c r="S285" s="63"/>
      <c r="T285" s="76">
        <v>0</v>
      </c>
      <c r="U285" s="76">
        <v>0</v>
      </c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</row>
    <row r="286" spans="1:47">
      <c r="A286" s="75" t="str">
        <f>BACKUP!A173</f>
        <v xml:space="preserve">   Retirement of Reserves (Was 12/01 Now 2002 - Mops $-1.8)</v>
      </c>
      <c r="B286" s="63"/>
      <c r="C286" s="101" t="s">
        <v>444</v>
      </c>
      <c r="D286" s="75">
        <f>BACKUP!D173</f>
        <v>8</v>
      </c>
      <c r="E286" s="75">
        <f>BACKUP!E173</f>
        <v>0</v>
      </c>
      <c r="F286" s="75">
        <f>BACKUP!F173</f>
        <v>0</v>
      </c>
      <c r="G286" s="75">
        <f>BACKUP!G173</f>
        <v>0</v>
      </c>
      <c r="H286" s="75">
        <f>BACKUP!H173</f>
        <v>0</v>
      </c>
      <c r="I286" s="75">
        <f>BACKUP!I173</f>
        <v>0</v>
      </c>
      <c r="J286" s="75">
        <f>BACKUP!J173</f>
        <v>-17703</v>
      </c>
      <c r="K286" s="75">
        <f>BACKUP!K173</f>
        <v>0</v>
      </c>
      <c r="L286" s="75">
        <f>BACKUP!L173</f>
        <v>0</v>
      </c>
      <c r="M286" s="75">
        <f>BACKUP!M173</f>
        <v>0</v>
      </c>
      <c r="N286" s="75">
        <f>BACKUP!N173</f>
        <v>0</v>
      </c>
      <c r="O286" s="75">
        <f>BACKUP!O173</f>
        <v>0</v>
      </c>
      <c r="P286" s="75">
        <f t="shared" si="235"/>
        <v>-17695</v>
      </c>
      <c r="Q286" s="76">
        <f t="shared" si="236"/>
        <v>-17695</v>
      </c>
      <c r="R286" s="75">
        <f t="shared" si="237"/>
        <v>0</v>
      </c>
      <c r="S286" s="63"/>
      <c r="T286" s="63"/>
      <c r="U286" s="75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</row>
    <row r="287" spans="1:47">
      <c r="A287" s="75" t="str">
        <f>BACKUP!A174</f>
        <v xml:space="preserve">   Actual / Estimate Adjustment</v>
      </c>
      <c r="B287" s="63"/>
      <c r="C287" s="101" t="s">
        <v>448</v>
      </c>
      <c r="D287" s="80">
        <f>BACKUP!D174</f>
        <v>0</v>
      </c>
      <c r="E287" s="80">
        <f>BACKUP!E174</f>
        <v>0</v>
      </c>
      <c r="F287" s="80">
        <f>BACKUP!F174</f>
        <v>0</v>
      </c>
      <c r="G287" s="80">
        <f>BACKUP!G174</f>
        <v>0</v>
      </c>
      <c r="H287" s="80">
        <f>BACKUP!H174</f>
        <v>0</v>
      </c>
      <c r="I287" s="80">
        <f>BACKUP!I174</f>
        <v>0</v>
      </c>
      <c r="J287" s="80">
        <f>BACKUP!J174</f>
        <v>0</v>
      </c>
      <c r="K287" s="80">
        <f>BACKUP!K174</f>
        <v>0</v>
      </c>
      <c r="L287" s="80">
        <f>BACKUP!L174</f>
        <v>0</v>
      </c>
      <c r="M287" s="80">
        <f>BACKUP!M174</f>
        <v>0</v>
      </c>
      <c r="N287" s="80">
        <f>BACKUP!N174</f>
        <v>0</v>
      </c>
      <c r="O287" s="80">
        <f>BACKUP!O174</f>
        <v>0</v>
      </c>
      <c r="P287" s="75">
        <f t="shared" si="235"/>
        <v>0</v>
      </c>
      <c r="Q287" s="76">
        <f t="shared" si="236"/>
        <v>0</v>
      </c>
      <c r="R287" s="75">
        <f t="shared" si="237"/>
        <v>0</v>
      </c>
      <c r="S287" s="63"/>
      <c r="T287" s="75"/>
      <c r="U287" s="75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</row>
    <row r="288" spans="1:47" ht="3.95" customHeight="1">
      <c r="A288" s="63"/>
      <c r="B288" s="63"/>
      <c r="C288" s="101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63"/>
      <c r="Q288" s="63"/>
      <c r="R288" s="63"/>
      <c r="S288" s="63"/>
      <c r="T288" s="75"/>
      <c r="U288" s="75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</row>
    <row r="289" spans="1:47">
      <c r="A289" s="83" t="str">
        <f>BACKUP!A176</f>
        <v>Accumulated Depreciation - End. Balance</v>
      </c>
      <c r="B289" s="63"/>
      <c r="C289" s="101"/>
      <c r="D289" s="80">
        <f>BACKUP!D176</f>
        <v>1446637</v>
      </c>
      <c r="E289" s="80">
        <f>BACKUP!E176</f>
        <v>1450495</v>
      </c>
      <c r="F289" s="80">
        <f>BACKUP!F176</f>
        <v>1454095</v>
      </c>
      <c r="G289" s="80">
        <f>BACKUP!G176</f>
        <v>1457697</v>
      </c>
      <c r="H289" s="80">
        <f>BACKUP!H176</f>
        <v>1463022</v>
      </c>
      <c r="I289" s="80">
        <f>BACKUP!I176</f>
        <v>1464768</v>
      </c>
      <c r="J289" s="80">
        <f>BACKUP!J176</f>
        <v>1450869</v>
      </c>
      <c r="K289" s="80">
        <f>BACKUP!K176</f>
        <v>1454669</v>
      </c>
      <c r="L289" s="80">
        <f>BACKUP!L176</f>
        <v>1458514</v>
      </c>
      <c r="M289" s="80">
        <f>BACKUP!M176</f>
        <v>1463659</v>
      </c>
      <c r="N289" s="80">
        <f>BACKUP!N176</f>
        <v>1467554</v>
      </c>
      <c r="O289" s="80">
        <f>BACKUP!O176</f>
        <v>1471499</v>
      </c>
      <c r="P289" s="63"/>
      <c r="Q289" s="63"/>
      <c r="R289" s="63"/>
      <c r="S289" s="63"/>
      <c r="T289" s="75"/>
      <c r="U289" s="75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</row>
    <row r="290" spans="1:47">
      <c r="A290" s="63"/>
      <c r="B290" s="63"/>
      <c r="C290" s="101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75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</row>
    <row r="291" spans="1:47">
      <c r="A291" s="83" t="str">
        <f>BACKUP!A180</f>
        <v>Deferred Contract Reformation Costs - Beg. Balance</v>
      </c>
      <c r="B291" s="63"/>
      <c r="C291" s="101"/>
      <c r="D291" s="75">
        <f>BACKUP!D180</f>
        <v>0</v>
      </c>
      <c r="E291" s="75">
        <f>BACKUP!E180</f>
        <v>0</v>
      </c>
      <c r="F291" s="75">
        <f>BACKUP!F180</f>
        <v>0</v>
      </c>
      <c r="G291" s="75">
        <f>BACKUP!G180</f>
        <v>0</v>
      </c>
      <c r="H291" s="75">
        <f>BACKUP!H180</f>
        <v>0</v>
      </c>
      <c r="I291" s="75">
        <f>BACKUP!I180</f>
        <v>0</v>
      </c>
      <c r="J291" s="75">
        <f>BACKUP!J180</f>
        <v>0</v>
      </c>
      <c r="K291" s="75">
        <f>BACKUP!K180</f>
        <v>0</v>
      </c>
      <c r="L291" s="75">
        <f>BACKUP!L180</f>
        <v>0</v>
      </c>
      <c r="M291" s="75">
        <f>BACKUP!M180</f>
        <v>0</v>
      </c>
      <c r="N291" s="75">
        <f>BACKUP!N180</f>
        <v>0</v>
      </c>
      <c r="O291" s="75">
        <f>BACKUP!O180</f>
        <v>0</v>
      </c>
      <c r="P291" s="75"/>
      <c r="Q291" s="75"/>
      <c r="R291" s="75"/>
      <c r="S291" s="63"/>
      <c r="T291" s="75"/>
      <c r="U291" s="75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</row>
    <row r="292" spans="1:47">
      <c r="A292" s="75" t="str">
        <f>BACKUP!A181</f>
        <v xml:space="preserve">   One Time Payments (Third Parties)</v>
      </c>
      <c r="B292" s="63"/>
      <c r="C292" s="101" t="s">
        <v>450</v>
      </c>
      <c r="D292" s="75">
        <f>BACKUP!D181</f>
        <v>0</v>
      </c>
      <c r="E292" s="75">
        <f>BACKUP!E181</f>
        <v>0</v>
      </c>
      <c r="F292" s="75">
        <f>BACKUP!F181</f>
        <v>0</v>
      </c>
      <c r="G292" s="75">
        <f>BACKUP!G181</f>
        <v>0</v>
      </c>
      <c r="H292" s="75">
        <f>BACKUP!H181</f>
        <v>0</v>
      </c>
      <c r="I292" s="75">
        <f>BACKUP!I181</f>
        <v>0</v>
      </c>
      <c r="J292" s="75">
        <f>BACKUP!J181</f>
        <v>0</v>
      </c>
      <c r="K292" s="75">
        <f>BACKUP!K181</f>
        <v>0</v>
      </c>
      <c r="L292" s="75">
        <f>BACKUP!L181</f>
        <v>0</v>
      </c>
      <c r="M292" s="75">
        <f>BACKUP!M181</f>
        <v>0</v>
      </c>
      <c r="N292" s="75">
        <f>BACKUP!N181</f>
        <v>0</v>
      </c>
      <c r="O292" s="75">
        <f>BACKUP!O181</f>
        <v>0</v>
      </c>
      <c r="P292" s="75">
        <f>SUM(D292:O292)</f>
        <v>0</v>
      </c>
      <c r="Q292" s="76">
        <f>SUM(D292:J292)</f>
        <v>0</v>
      </c>
      <c r="R292" s="75">
        <f>P292-Q292</f>
        <v>0</v>
      </c>
      <c r="S292" s="63"/>
      <c r="T292" s="75"/>
      <c r="U292" s="75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</row>
    <row r="293" spans="1:47">
      <c r="A293" s="75" t="str">
        <f>BACKUP!A182</f>
        <v xml:space="preserve">   Actual / Estimate Adjustment</v>
      </c>
      <c r="B293" s="63"/>
      <c r="C293" s="101" t="s">
        <v>450</v>
      </c>
      <c r="D293" s="80">
        <f>BACKUP!D182</f>
        <v>0</v>
      </c>
      <c r="E293" s="80">
        <f>BACKUP!E182</f>
        <v>0</v>
      </c>
      <c r="F293" s="80">
        <f>BACKUP!F182</f>
        <v>0</v>
      </c>
      <c r="G293" s="80">
        <f>BACKUP!G182</f>
        <v>0</v>
      </c>
      <c r="H293" s="80">
        <f>BACKUP!H182</f>
        <v>0</v>
      </c>
      <c r="I293" s="80">
        <f>BACKUP!I182</f>
        <v>0</v>
      </c>
      <c r="J293" s="80">
        <f>BACKUP!J182</f>
        <v>0</v>
      </c>
      <c r="K293" s="80">
        <f>BACKUP!K182</f>
        <v>0</v>
      </c>
      <c r="L293" s="80">
        <f>BACKUP!L182</f>
        <v>0</v>
      </c>
      <c r="M293" s="80">
        <f>BACKUP!M182</f>
        <v>0</v>
      </c>
      <c r="N293" s="80">
        <f>BACKUP!N182</f>
        <v>0</v>
      </c>
      <c r="O293" s="80">
        <f>BACKUP!O182</f>
        <v>0</v>
      </c>
      <c r="P293" s="75">
        <f>SUM(D293:O293)</f>
        <v>0</v>
      </c>
      <c r="Q293" s="76">
        <f>SUM(D293:J293)</f>
        <v>0</v>
      </c>
      <c r="R293" s="75">
        <f>P293-Q293</f>
        <v>0</v>
      </c>
      <c r="S293" s="63"/>
      <c r="T293" s="63"/>
      <c r="U293" s="75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</row>
    <row r="294" spans="1:47" ht="3.95" customHeight="1">
      <c r="A294" s="63"/>
      <c r="B294" s="63"/>
      <c r="C294" s="101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63"/>
      <c r="T294" s="75"/>
      <c r="U294" s="75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</row>
    <row r="295" spans="1:47">
      <c r="A295" s="83" t="str">
        <f>BACKUP!A184</f>
        <v>Deferred Contract Reformation Costs - End. Balance</v>
      </c>
      <c r="B295" s="63"/>
      <c r="C295" s="101"/>
      <c r="D295" s="80">
        <f>BACKUP!D184</f>
        <v>0</v>
      </c>
      <c r="E295" s="80">
        <f>BACKUP!E184</f>
        <v>0</v>
      </c>
      <c r="F295" s="80">
        <f>BACKUP!F184</f>
        <v>0</v>
      </c>
      <c r="G295" s="80">
        <f>BACKUP!G184</f>
        <v>0</v>
      </c>
      <c r="H295" s="80">
        <f>BACKUP!H184</f>
        <v>0</v>
      </c>
      <c r="I295" s="80">
        <f>BACKUP!I184</f>
        <v>0</v>
      </c>
      <c r="J295" s="80">
        <f>BACKUP!J184</f>
        <v>0</v>
      </c>
      <c r="K295" s="80">
        <f>BACKUP!K184</f>
        <v>0</v>
      </c>
      <c r="L295" s="80">
        <f>BACKUP!L184</f>
        <v>0</v>
      </c>
      <c r="M295" s="80">
        <f>BACKUP!M184</f>
        <v>0</v>
      </c>
      <c r="N295" s="80">
        <f>BACKUP!N184</f>
        <v>0</v>
      </c>
      <c r="O295" s="80">
        <f>BACKUP!O184</f>
        <v>0</v>
      </c>
      <c r="P295" s="63"/>
      <c r="Q295" s="63"/>
      <c r="R295" s="63"/>
      <c r="S295" s="63"/>
      <c r="T295" s="75"/>
      <c r="U295" s="75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</row>
    <row r="296" spans="1:47">
      <c r="A296" s="63"/>
      <c r="B296" s="63"/>
      <c r="C296" s="101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75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</row>
    <row r="297" spans="1:47">
      <c r="A297" s="83" t="str">
        <f>BACKUP!A188</f>
        <v>Deferred Sev. / Relocation Charges - Beg. Balance</v>
      </c>
      <c r="B297" s="63"/>
      <c r="C297" s="101"/>
      <c r="D297" s="75">
        <f>BACKUP!D188</f>
        <v>0</v>
      </c>
      <c r="E297" s="75">
        <f>BACKUP!E188</f>
        <v>0</v>
      </c>
      <c r="F297" s="75">
        <f>BACKUP!F188</f>
        <v>0</v>
      </c>
      <c r="G297" s="75">
        <f>BACKUP!G188</f>
        <v>0</v>
      </c>
      <c r="H297" s="75">
        <f>BACKUP!H188</f>
        <v>0</v>
      </c>
      <c r="I297" s="75">
        <f>BACKUP!I188</f>
        <v>0</v>
      </c>
      <c r="J297" s="75">
        <f>BACKUP!J188</f>
        <v>0</v>
      </c>
      <c r="K297" s="75">
        <f>BACKUP!K188</f>
        <v>0</v>
      </c>
      <c r="L297" s="75">
        <f>BACKUP!L188</f>
        <v>0</v>
      </c>
      <c r="M297" s="75">
        <f>BACKUP!M188</f>
        <v>0</v>
      </c>
      <c r="N297" s="75">
        <f>BACKUP!N188</f>
        <v>0</v>
      </c>
      <c r="O297" s="75">
        <f>BACKUP!O188</f>
        <v>0</v>
      </c>
      <c r="P297" s="63"/>
      <c r="Q297" s="63"/>
      <c r="R297" s="63"/>
      <c r="S297" s="63"/>
      <c r="T297" s="75"/>
      <c r="U297" s="75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</row>
    <row r="298" spans="1:47">
      <c r="A298" s="75" t="str">
        <f>BACKUP!A189</f>
        <v xml:space="preserve">   Merger / Severance</v>
      </c>
      <c r="B298" s="63"/>
      <c r="C298" s="101" t="s">
        <v>451</v>
      </c>
      <c r="D298" s="75">
        <f>BACKUP!D189</f>
        <v>0</v>
      </c>
      <c r="E298" s="75">
        <f>BACKUP!E189</f>
        <v>0</v>
      </c>
      <c r="F298" s="75">
        <f>BACKUP!F189</f>
        <v>0</v>
      </c>
      <c r="G298" s="75">
        <f>BACKUP!G189</f>
        <v>0</v>
      </c>
      <c r="H298" s="75">
        <f>BACKUP!H189</f>
        <v>0</v>
      </c>
      <c r="I298" s="75">
        <f>BACKUP!I189</f>
        <v>0</v>
      </c>
      <c r="J298" s="75">
        <f>BACKUP!J189</f>
        <v>0</v>
      </c>
      <c r="K298" s="75">
        <f>BACKUP!K189</f>
        <v>0</v>
      </c>
      <c r="L298" s="75">
        <f>BACKUP!L189</f>
        <v>0</v>
      </c>
      <c r="M298" s="75">
        <f>BACKUP!M189</f>
        <v>0</v>
      </c>
      <c r="N298" s="75">
        <f>BACKUP!N189</f>
        <v>0</v>
      </c>
      <c r="O298" s="75">
        <f>BACKUP!O189</f>
        <v>0</v>
      </c>
      <c r="P298" s="75">
        <f>SUM(D298:O298)</f>
        <v>0</v>
      </c>
      <c r="Q298" s="76">
        <f>SUM(D298:J298)</f>
        <v>0</v>
      </c>
      <c r="R298" s="75">
        <f>P298-Q298</f>
        <v>0</v>
      </c>
      <c r="S298" s="63"/>
      <c r="T298" s="63"/>
      <c r="U298" s="75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</row>
    <row r="299" spans="1:47">
      <c r="A299" s="75" t="str">
        <f>BACKUP!A190</f>
        <v xml:space="preserve">   Actual / Estimate Adjustment</v>
      </c>
      <c r="B299" s="63"/>
      <c r="C299" s="101" t="s">
        <v>451</v>
      </c>
      <c r="D299" s="80">
        <f>BACKUP!D190</f>
        <v>0</v>
      </c>
      <c r="E299" s="80">
        <f>BACKUP!E190</f>
        <v>0</v>
      </c>
      <c r="F299" s="80">
        <f>BACKUP!F190</f>
        <v>0</v>
      </c>
      <c r="G299" s="80">
        <f>BACKUP!G190</f>
        <v>0</v>
      </c>
      <c r="H299" s="80">
        <f>BACKUP!H190</f>
        <v>0</v>
      </c>
      <c r="I299" s="80">
        <f>BACKUP!I190</f>
        <v>0</v>
      </c>
      <c r="J299" s="80">
        <f>BACKUP!J190</f>
        <v>0</v>
      </c>
      <c r="K299" s="80">
        <f>BACKUP!K190</f>
        <v>0</v>
      </c>
      <c r="L299" s="80">
        <f>BACKUP!L190</f>
        <v>0</v>
      </c>
      <c r="M299" s="80">
        <f>BACKUP!M190</f>
        <v>0</v>
      </c>
      <c r="N299" s="80">
        <f>BACKUP!N190</f>
        <v>0</v>
      </c>
      <c r="O299" s="80">
        <f>BACKUP!O190</f>
        <v>0</v>
      </c>
      <c r="P299" s="75">
        <f>SUM(D299:O299)</f>
        <v>0</v>
      </c>
      <c r="Q299" s="76">
        <f>SUM(D299:J299)</f>
        <v>0</v>
      </c>
      <c r="R299" s="75">
        <f>P299-Q299</f>
        <v>0</v>
      </c>
      <c r="S299" s="63"/>
      <c r="T299" s="63"/>
      <c r="U299" s="75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</row>
    <row r="300" spans="1:47" ht="3.95" customHeight="1">
      <c r="A300" s="63"/>
      <c r="B300" s="63"/>
      <c r="C300" s="101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63"/>
      <c r="Q300" s="63"/>
      <c r="R300" s="63"/>
      <c r="S300" s="63"/>
      <c r="T300" s="63"/>
      <c r="U300" s="75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</row>
    <row r="301" spans="1:47">
      <c r="A301" s="83" t="str">
        <f>BACKUP!A192</f>
        <v>Deferred Sev. / Relocation Charges - End. Balance</v>
      </c>
      <c r="B301" s="63"/>
      <c r="C301" s="101"/>
      <c r="D301" s="80">
        <f>BACKUP!D192</f>
        <v>0</v>
      </c>
      <c r="E301" s="80">
        <f>BACKUP!E192</f>
        <v>0</v>
      </c>
      <c r="F301" s="80">
        <f>BACKUP!F192</f>
        <v>0</v>
      </c>
      <c r="G301" s="80">
        <f>BACKUP!G192</f>
        <v>0</v>
      </c>
      <c r="H301" s="80">
        <f>BACKUP!H192</f>
        <v>0</v>
      </c>
      <c r="I301" s="80">
        <f>BACKUP!I192</f>
        <v>0</v>
      </c>
      <c r="J301" s="80">
        <f>BACKUP!J192</f>
        <v>0</v>
      </c>
      <c r="K301" s="80">
        <f>BACKUP!K192</f>
        <v>0</v>
      </c>
      <c r="L301" s="80">
        <f>BACKUP!L192</f>
        <v>0</v>
      </c>
      <c r="M301" s="80">
        <f>BACKUP!M192</f>
        <v>0</v>
      </c>
      <c r="N301" s="80">
        <f>BACKUP!N192</f>
        <v>0</v>
      </c>
      <c r="O301" s="80">
        <f>BACKUP!O192</f>
        <v>0</v>
      </c>
      <c r="P301" s="63"/>
      <c r="Q301" s="63"/>
      <c r="R301" s="63"/>
      <c r="S301" s="63"/>
      <c r="T301" s="75"/>
      <c r="U301" s="75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</row>
    <row r="302" spans="1:47" ht="8.1" customHeight="1">
      <c r="A302" s="63"/>
      <c r="B302" s="63"/>
      <c r="C302" s="101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75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</row>
    <row r="303" spans="1:47">
      <c r="A303" s="63"/>
      <c r="B303" s="63"/>
      <c r="C303" s="101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75"/>
      <c r="U303" s="75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</row>
    <row r="304" spans="1:47">
      <c r="A304" s="83" t="str">
        <f>BACKUP!A252</f>
        <v>Deferred Charges - Beg. Balance</v>
      </c>
      <c r="B304" s="63"/>
      <c r="C304" s="101"/>
      <c r="D304" s="75">
        <f>BACKUP!D252</f>
        <v>9150</v>
      </c>
      <c r="E304" s="75">
        <f>BACKUP!E252</f>
        <v>8391</v>
      </c>
      <c r="F304" s="75">
        <f>BACKUP!F252</f>
        <v>10015</v>
      </c>
      <c r="G304" s="75">
        <f>BACKUP!G252</f>
        <v>9127</v>
      </c>
      <c r="H304" s="75">
        <f>BACKUP!H252</f>
        <v>9335</v>
      </c>
      <c r="I304" s="75">
        <f>BACKUP!I252</f>
        <v>9572</v>
      </c>
      <c r="J304" s="75">
        <f>BACKUP!J252</f>
        <v>10257</v>
      </c>
      <c r="K304" s="75">
        <f>BACKUP!K252</f>
        <v>10958</v>
      </c>
      <c r="L304" s="75">
        <f>BACKUP!L252</f>
        <v>10960</v>
      </c>
      <c r="M304" s="75">
        <f>BACKUP!M252</f>
        <v>10959</v>
      </c>
      <c r="N304" s="75">
        <f>BACKUP!N252</f>
        <v>10960</v>
      </c>
      <c r="O304" s="75">
        <f>BACKUP!O252</f>
        <v>10889</v>
      </c>
      <c r="P304" s="75"/>
      <c r="Q304" s="75"/>
      <c r="R304" s="75"/>
      <c r="S304" s="63"/>
      <c r="T304" s="75"/>
      <c r="U304" s="75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</row>
    <row r="305" spans="1:47">
      <c r="A305" s="75" t="str">
        <f>BACKUP!A253</f>
        <v xml:space="preserve">   Amortized Loss on Reacquired Debt</v>
      </c>
      <c r="B305" s="63"/>
      <c r="C305" s="101" t="s">
        <v>444</v>
      </c>
      <c r="D305" s="75">
        <f>BACKUP!D253</f>
        <v>-39</v>
      </c>
      <c r="E305" s="75">
        <f>BACKUP!E253</f>
        <v>-38</v>
      </c>
      <c r="F305" s="75">
        <f>BACKUP!F253</f>
        <v>-39</v>
      </c>
      <c r="G305" s="75">
        <f>BACKUP!G253</f>
        <v>-38</v>
      </c>
      <c r="H305" s="75">
        <f>BACKUP!H253</f>
        <v>-39</v>
      </c>
      <c r="I305" s="75">
        <f>BACKUP!I253</f>
        <v>-38</v>
      </c>
      <c r="J305" s="75">
        <f>BACKUP!J253</f>
        <v>-39</v>
      </c>
      <c r="K305" s="75">
        <f>BACKUP!K253</f>
        <v>-38</v>
      </c>
      <c r="L305" s="75">
        <f>BACKUP!L253</f>
        <v>-39</v>
      </c>
      <c r="M305" s="75">
        <f>BACKUP!M253</f>
        <v>-38</v>
      </c>
      <c r="N305" s="75">
        <f>BACKUP!N253</f>
        <v>-39</v>
      </c>
      <c r="O305" s="75">
        <f>BACKUP!O253</f>
        <v>-39</v>
      </c>
      <c r="P305" s="75">
        <f t="shared" ref="P305:P318" si="238">SUM(D305:O305)</f>
        <v>-463</v>
      </c>
      <c r="Q305" s="76">
        <f t="shared" ref="Q305:Q318" si="239">SUM(D305:J305)</f>
        <v>-270</v>
      </c>
      <c r="R305" s="75">
        <f t="shared" ref="R305:R318" si="240">P305-Q305</f>
        <v>-193</v>
      </c>
      <c r="S305" s="63"/>
      <c r="T305" s="76">
        <v>0</v>
      </c>
      <c r="U305" s="76">
        <v>0</v>
      </c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</row>
    <row r="306" spans="1:47">
      <c r="A306" s="75" t="str">
        <f>BACKUP!A254</f>
        <v xml:space="preserve">   Non Construction WIP </v>
      </c>
      <c r="B306" s="63"/>
      <c r="C306" s="101" t="s">
        <v>444</v>
      </c>
      <c r="D306" s="75">
        <f>BACKUP!D254</f>
        <v>-684</v>
      </c>
      <c r="E306" s="75">
        <f>BACKUP!E254</f>
        <v>1693</v>
      </c>
      <c r="F306" s="75">
        <f>BACKUP!F254</f>
        <v>-817</v>
      </c>
      <c r="G306" s="75">
        <f>BACKUP!G254</f>
        <v>277</v>
      </c>
      <c r="H306" s="75">
        <f>BACKUP!H254</f>
        <v>308</v>
      </c>
      <c r="I306" s="75">
        <f>BACKUP!I254</f>
        <v>754</v>
      </c>
      <c r="J306" s="75">
        <f>BACKUP!J254</f>
        <v>771</v>
      </c>
      <c r="K306" s="75">
        <f>BACKUP!K254</f>
        <v>70</v>
      </c>
      <c r="L306" s="75">
        <f>BACKUP!L254</f>
        <v>70</v>
      </c>
      <c r="M306" s="75">
        <f>BACKUP!M254</f>
        <v>70</v>
      </c>
      <c r="N306" s="75">
        <f>BACKUP!N254</f>
        <v>0</v>
      </c>
      <c r="O306" s="75">
        <f>BACKUP!O254</f>
        <v>-700</v>
      </c>
      <c r="P306" s="75">
        <f t="shared" si="238"/>
        <v>1812</v>
      </c>
      <c r="Q306" s="76">
        <f t="shared" si="239"/>
        <v>2302</v>
      </c>
      <c r="R306" s="75">
        <f t="shared" si="240"/>
        <v>-490</v>
      </c>
      <c r="S306" s="63"/>
      <c r="T306" s="75"/>
      <c r="U306" s="75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</row>
    <row r="307" spans="1:47">
      <c r="A307" s="75" t="str">
        <f>BACKUP!A255</f>
        <v xml:space="preserve">      - Y2K Cost Deferrals (Reclass to Reg Assets 7/00)</v>
      </c>
      <c r="B307" s="63"/>
      <c r="C307" s="101" t="s">
        <v>444</v>
      </c>
      <c r="D307" s="75">
        <f>BACKUP!D255</f>
        <v>0</v>
      </c>
      <c r="E307" s="75">
        <f>BACKUP!E255</f>
        <v>0</v>
      </c>
      <c r="F307" s="75">
        <f>BACKUP!F255</f>
        <v>0</v>
      </c>
      <c r="G307" s="75">
        <f>BACKUP!G255</f>
        <v>0</v>
      </c>
      <c r="H307" s="75">
        <f>BACKUP!H255</f>
        <v>0</v>
      </c>
      <c r="I307" s="75">
        <f>BACKUP!I255</f>
        <v>0</v>
      </c>
      <c r="J307" s="75">
        <f>BACKUP!J255</f>
        <v>0</v>
      </c>
      <c r="K307" s="75">
        <f>BACKUP!K255</f>
        <v>0</v>
      </c>
      <c r="L307" s="75">
        <f>BACKUP!L255</f>
        <v>0</v>
      </c>
      <c r="M307" s="75">
        <f>BACKUP!M255</f>
        <v>0</v>
      </c>
      <c r="N307" s="75">
        <f>BACKUP!N255</f>
        <v>0</v>
      </c>
      <c r="O307" s="75">
        <f>BACKUP!O255</f>
        <v>0</v>
      </c>
      <c r="P307" s="75">
        <f>SUM(D307:O307)</f>
        <v>0</v>
      </c>
      <c r="Q307" s="76">
        <f t="shared" si="239"/>
        <v>0</v>
      </c>
      <c r="R307" s="75">
        <f>P307-Q307</f>
        <v>0</v>
      </c>
      <c r="S307" s="63"/>
      <c r="T307" s="75"/>
      <c r="U307" s="75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</row>
    <row r="308" spans="1:47">
      <c r="A308" s="75" t="str">
        <f>BACKUP!A256</f>
        <v xml:space="preserve">      - Mobil Annual Settlement (1996-2001Exp. In 2000) / Amort.</v>
      </c>
      <c r="B308" s="63"/>
      <c r="C308" s="101" t="s">
        <v>444</v>
      </c>
      <c r="D308" s="75">
        <f>BACKUP!D256</f>
        <v>0</v>
      </c>
      <c r="E308" s="75">
        <f>BACKUP!E256</f>
        <v>0</v>
      </c>
      <c r="F308" s="75">
        <f>BACKUP!F256</f>
        <v>0</v>
      </c>
      <c r="G308" s="75">
        <f>BACKUP!G256</f>
        <v>0</v>
      </c>
      <c r="H308" s="75">
        <f>BACKUP!H256</f>
        <v>0</v>
      </c>
      <c r="I308" s="75">
        <f>BACKUP!I256</f>
        <v>0</v>
      </c>
      <c r="J308" s="75">
        <f>BACKUP!J256</f>
        <v>0</v>
      </c>
      <c r="K308" s="75">
        <f>BACKUP!K256</f>
        <v>0</v>
      </c>
      <c r="L308" s="75">
        <f>BACKUP!L256</f>
        <v>0</v>
      </c>
      <c r="M308" s="75">
        <f>BACKUP!M256</f>
        <v>0</v>
      </c>
      <c r="N308" s="75">
        <f>BACKUP!N256</f>
        <v>0</v>
      </c>
      <c r="O308" s="75">
        <f>BACKUP!O256</f>
        <v>0</v>
      </c>
      <c r="P308" s="75">
        <f t="shared" si="238"/>
        <v>0</v>
      </c>
      <c r="Q308" s="76">
        <f t="shared" si="239"/>
        <v>0</v>
      </c>
      <c r="R308" s="75">
        <f t="shared" si="240"/>
        <v>0</v>
      </c>
      <c r="S308" s="63"/>
      <c r="T308" s="76">
        <v>0</v>
      </c>
      <c r="U308" s="76">
        <v>0</v>
      </c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</row>
    <row r="309" spans="1:47">
      <c r="A309" s="75" t="str">
        <f>BACKUP!A257</f>
        <v xml:space="preserve">   Unamortized Debt Expense - $250.0 MM Note</v>
      </c>
      <c r="B309" s="63"/>
      <c r="C309" s="101" t="s">
        <v>444</v>
      </c>
      <c r="D309" s="75">
        <f>BACKUP!D257</f>
        <v>-14</v>
      </c>
      <c r="E309" s="75">
        <f>BACKUP!E257</f>
        <v>-13</v>
      </c>
      <c r="F309" s="75">
        <f>BACKUP!F257</f>
        <v>-14</v>
      </c>
      <c r="G309" s="75">
        <f>BACKUP!G257</f>
        <v>-14</v>
      </c>
      <c r="H309" s="75">
        <f>BACKUP!H257</f>
        <v>-14</v>
      </c>
      <c r="I309" s="75">
        <f>BACKUP!I257</f>
        <v>-13</v>
      </c>
      <c r="J309" s="75">
        <f>BACKUP!J257</f>
        <v>-13</v>
      </c>
      <c r="K309" s="75">
        <f>BACKUP!K257</f>
        <v>-13</v>
      </c>
      <c r="L309" s="75">
        <f>BACKUP!L257</f>
        <v>-14</v>
      </c>
      <c r="M309" s="75">
        <f>BACKUP!M257</f>
        <v>-13</v>
      </c>
      <c r="N309" s="75">
        <f>BACKUP!N257</f>
        <v>-14</v>
      </c>
      <c r="O309" s="75">
        <f>BACKUP!O257</f>
        <v>-13</v>
      </c>
      <c r="P309" s="75">
        <f t="shared" si="238"/>
        <v>-162</v>
      </c>
      <c r="Q309" s="76">
        <f t="shared" si="239"/>
        <v>-95</v>
      </c>
      <c r="R309" s="75">
        <f t="shared" si="240"/>
        <v>-67</v>
      </c>
      <c r="S309" s="63"/>
      <c r="T309" s="76">
        <v>0</v>
      </c>
      <c r="U309" s="76">
        <v>0</v>
      </c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</row>
    <row r="310" spans="1:47">
      <c r="A310" s="75" t="str">
        <f>BACKUP!A258</f>
        <v xml:space="preserve">      - $100.0 MM Note</v>
      </c>
      <c r="B310" s="63"/>
      <c r="C310" s="101" t="s">
        <v>444</v>
      </c>
      <c r="D310" s="75">
        <f>BACKUP!D258</f>
        <v>-7</v>
      </c>
      <c r="E310" s="75">
        <f>BACKUP!E258</f>
        <v>-7</v>
      </c>
      <c r="F310" s="75">
        <f>BACKUP!F258</f>
        <v>-7</v>
      </c>
      <c r="G310" s="75">
        <f>BACKUP!G258</f>
        <v>-6</v>
      </c>
      <c r="H310" s="75">
        <f>BACKUP!H258</f>
        <v>-7</v>
      </c>
      <c r="I310" s="75">
        <f>BACKUP!I258</f>
        <v>-7</v>
      </c>
      <c r="J310" s="75">
        <f>BACKUP!J258</f>
        <v>-7</v>
      </c>
      <c r="K310" s="75">
        <f>BACKUP!K258</f>
        <v>-6</v>
      </c>
      <c r="L310" s="75">
        <f>BACKUP!L258</f>
        <v>-7</v>
      </c>
      <c r="M310" s="75">
        <f>BACKUP!M258</f>
        <v>-7</v>
      </c>
      <c r="N310" s="75">
        <f>BACKUP!N258</f>
        <v>-7</v>
      </c>
      <c r="O310" s="75">
        <f>BACKUP!O258</f>
        <v>-6</v>
      </c>
      <c r="P310" s="75">
        <f t="shared" si="238"/>
        <v>-81</v>
      </c>
      <c r="Q310" s="76">
        <f t="shared" si="239"/>
        <v>-48</v>
      </c>
      <c r="R310" s="75">
        <f t="shared" si="240"/>
        <v>-33</v>
      </c>
      <c r="S310" s="63"/>
      <c r="T310" s="76"/>
      <c r="U310" s="76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</row>
    <row r="311" spans="1:47">
      <c r="A311" s="75" t="str">
        <f>BACKUP!A259</f>
        <v xml:space="preserve">      - $150.0 MM Note</v>
      </c>
      <c r="B311" s="63"/>
      <c r="C311" s="101" t="s">
        <v>444</v>
      </c>
      <c r="D311" s="75">
        <f>BACKUP!D259</f>
        <v>-11</v>
      </c>
      <c r="E311" s="75">
        <f>BACKUP!E259</f>
        <v>-11</v>
      </c>
      <c r="F311" s="75">
        <f>BACKUP!F259</f>
        <v>-11</v>
      </c>
      <c r="G311" s="75">
        <f>BACKUP!G259</f>
        <v>-11</v>
      </c>
      <c r="H311" s="75">
        <f>BACKUP!H259</f>
        <v>-11</v>
      </c>
      <c r="I311" s="75">
        <f>BACKUP!I259</f>
        <v>-11</v>
      </c>
      <c r="J311" s="75">
        <f>BACKUP!J259</f>
        <v>-11</v>
      </c>
      <c r="K311" s="75">
        <f>BACKUP!K259</f>
        <v>-11</v>
      </c>
      <c r="L311" s="75">
        <f>BACKUP!L259</f>
        <v>-11</v>
      </c>
      <c r="M311" s="75">
        <f>BACKUP!M259</f>
        <v>-11</v>
      </c>
      <c r="N311" s="75">
        <f>BACKUP!N259</f>
        <v>-11</v>
      </c>
      <c r="O311" s="75">
        <f>BACKUP!O259</f>
        <v>-10</v>
      </c>
      <c r="P311" s="75">
        <f t="shared" si="238"/>
        <v>-131</v>
      </c>
      <c r="Q311" s="76">
        <f t="shared" si="239"/>
        <v>-77</v>
      </c>
      <c r="R311" s="75">
        <f t="shared" si="240"/>
        <v>-54</v>
      </c>
      <c r="S311" s="63"/>
      <c r="T311" s="76"/>
      <c r="U311" s="76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</row>
    <row r="312" spans="1:47">
      <c r="A312" s="75" t="str">
        <f>BACKUP!A260</f>
        <v xml:space="preserve">   Other</v>
      </c>
      <c r="B312" s="63"/>
      <c r="C312" s="101" t="s">
        <v>444</v>
      </c>
      <c r="D312" s="75">
        <f>BACKUP!D260</f>
        <v>0</v>
      </c>
      <c r="E312" s="75">
        <f>BACKUP!E260</f>
        <v>0</v>
      </c>
      <c r="F312" s="75">
        <f>BACKUP!F260</f>
        <v>0</v>
      </c>
      <c r="G312" s="75">
        <f>BACKUP!G260</f>
        <v>0</v>
      </c>
      <c r="H312" s="75">
        <f>BACKUP!H260</f>
        <v>0</v>
      </c>
      <c r="I312" s="75">
        <f>BACKUP!I260</f>
        <v>0</v>
      </c>
      <c r="J312" s="75">
        <f>BACKUP!J260</f>
        <v>0</v>
      </c>
      <c r="K312" s="75">
        <f>BACKUP!K260</f>
        <v>0</v>
      </c>
      <c r="L312" s="75">
        <f>BACKUP!L260</f>
        <v>0</v>
      </c>
      <c r="M312" s="75">
        <f>BACKUP!M260</f>
        <v>0</v>
      </c>
      <c r="N312" s="75">
        <f>BACKUP!N260</f>
        <v>0</v>
      </c>
      <c r="O312" s="75">
        <f>BACKUP!O260</f>
        <v>0</v>
      </c>
      <c r="P312" s="75">
        <f t="shared" si="238"/>
        <v>0</v>
      </c>
      <c r="Q312" s="76">
        <f t="shared" si="239"/>
        <v>0</v>
      </c>
      <c r="R312" s="75">
        <f t="shared" si="240"/>
        <v>0</v>
      </c>
      <c r="S312" s="63"/>
      <c r="T312" s="76">
        <v>0</v>
      </c>
      <c r="U312" s="76">
        <v>0</v>
      </c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</row>
    <row r="313" spans="1:47">
      <c r="A313" s="75" t="str">
        <f>BACKUP!A261</f>
        <v xml:space="preserve">   Other</v>
      </c>
      <c r="B313" s="63"/>
      <c r="C313" s="101" t="s">
        <v>444</v>
      </c>
      <c r="D313" s="75">
        <f>BACKUP!D261</f>
        <v>0</v>
      </c>
      <c r="E313" s="75">
        <f>BACKUP!E261</f>
        <v>0</v>
      </c>
      <c r="F313" s="75">
        <f>BACKUP!F261</f>
        <v>0</v>
      </c>
      <c r="G313" s="75">
        <f>BACKUP!G261</f>
        <v>0</v>
      </c>
      <c r="H313" s="75">
        <f>BACKUP!H261</f>
        <v>0</v>
      </c>
      <c r="I313" s="75">
        <f>BACKUP!I261</f>
        <v>0</v>
      </c>
      <c r="J313" s="75">
        <f>BACKUP!J261</f>
        <v>0</v>
      </c>
      <c r="K313" s="75">
        <f>BACKUP!K261</f>
        <v>0</v>
      </c>
      <c r="L313" s="75">
        <f>BACKUP!L261</f>
        <v>0</v>
      </c>
      <c r="M313" s="75">
        <f>BACKUP!M261</f>
        <v>0</v>
      </c>
      <c r="N313" s="75">
        <f>BACKUP!N261</f>
        <v>0</v>
      </c>
      <c r="O313" s="75">
        <f>BACKUP!O261</f>
        <v>0</v>
      </c>
      <c r="P313" s="75">
        <f t="shared" si="238"/>
        <v>0</v>
      </c>
      <c r="Q313" s="76">
        <f t="shared" si="239"/>
        <v>0</v>
      </c>
      <c r="R313" s="75">
        <f t="shared" si="240"/>
        <v>0</v>
      </c>
      <c r="S313" s="63"/>
      <c r="T313" s="76">
        <v>0</v>
      </c>
      <c r="U313" s="76">
        <v>0</v>
      </c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</row>
    <row r="314" spans="1:47">
      <c r="A314" s="75" t="str">
        <f>BACKUP!A262</f>
        <v xml:space="preserve">   Miscellaneous</v>
      </c>
      <c r="B314" s="63"/>
      <c r="C314" s="101" t="s">
        <v>444</v>
      </c>
      <c r="D314" s="75">
        <f>BACKUP!D262</f>
        <v>-4</v>
      </c>
      <c r="E314" s="75">
        <f>BACKUP!E262</f>
        <v>0</v>
      </c>
      <c r="F314" s="75">
        <f>BACKUP!F262</f>
        <v>0</v>
      </c>
      <c r="G314" s="75">
        <f>BACKUP!G262</f>
        <v>0</v>
      </c>
      <c r="H314" s="75">
        <f>BACKUP!H262</f>
        <v>0</v>
      </c>
      <c r="I314" s="75">
        <f>BACKUP!I262</f>
        <v>0</v>
      </c>
      <c r="J314" s="75">
        <f>BACKUP!J262</f>
        <v>0</v>
      </c>
      <c r="K314" s="75">
        <f>BACKUP!K262</f>
        <v>0</v>
      </c>
      <c r="L314" s="75">
        <f>BACKUP!L262</f>
        <v>0</v>
      </c>
      <c r="M314" s="75">
        <f>BACKUP!M262</f>
        <v>0</v>
      </c>
      <c r="N314" s="75">
        <f>BACKUP!N262</f>
        <v>0</v>
      </c>
      <c r="O314" s="75">
        <f>BACKUP!O262</f>
        <v>0</v>
      </c>
      <c r="P314" s="75">
        <f t="shared" si="238"/>
        <v>-4</v>
      </c>
      <c r="Q314" s="76">
        <f t="shared" si="239"/>
        <v>-4</v>
      </c>
      <c r="R314" s="75">
        <f t="shared" si="240"/>
        <v>0</v>
      </c>
      <c r="S314" s="63"/>
      <c r="T314" s="76">
        <v>0</v>
      </c>
      <c r="U314" s="76">
        <v>0</v>
      </c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</row>
    <row r="315" spans="1:47">
      <c r="A315" s="75" t="str">
        <f>BACKUP!A263</f>
        <v xml:space="preserve">   Non-Recurring Structured Produces (Non Cash)</v>
      </c>
      <c r="B315" s="63"/>
      <c r="C315" s="101" t="s">
        <v>444</v>
      </c>
      <c r="D315" s="75">
        <f>BACKUP!D263</f>
        <v>0</v>
      </c>
      <c r="E315" s="75">
        <f>BACKUP!E263</f>
        <v>0</v>
      </c>
      <c r="F315" s="75">
        <f>BACKUP!F263</f>
        <v>0</v>
      </c>
      <c r="G315" s="75">
        <f>BACKUP!G263</f>
        <v>0</v>
      </c>
      <c r="H315" s="75">
        <f>BACKUP!H263</f>
        <v>0</v>
      </c>
      <c r="I315" s="75">
        <f>BACKUP!I263</f>
        <v>0</v>
      </c>
      <c r="J315" s="75">
        <f>BACKUP!J263</f>
        <v>0</v>
      </c>
      <c r="K315" s="75">
        <f>BACKUP!K263</f>
        <v>0</v>
      </c>
      <c r="L315" s="75">
        <f>BACKUP!L263</f>
        <v>0</v>
      </c>
      <c r="M315" s="75">
        <f>BACKUP!M263</f>
        <v>0</v>
      </c>
      <c r="N315" s="75">
        <f>BACKUP!N263</f>
        <v>0</v>
      </c>
      <c r="O315" s="75">
        <f>BACKUP!O263</f>
        <v>0</v>
      </c>
      <c r="P315" s="75">
        <f t="shared" si="238"/>
        <v>0</v>
      </c>
      <c r="Q315" s="76">
        <f t="shared" si="239"/>
        <v>0</v>
      </c>
      <c r="R315" s="75">
        <f t="shared" si="240"/>
        <v>0</v>
      </c>
      <c r="S315" s="63"/>
      <c r="T315" s="76">
        <v>0</v>
      </c>
      <c r="U315" s="76">
        <v>0</v>
      </c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</row>
    <row r="316" spans="1:47">
      <c r="A316" s="75" t="str">
        <f>BACKUP!A264</f>
        <v xml:space="preserve">   Unidentified "Stretch" (Non Cash)</v>
      </c>
      <c r="B316" s="63"/>
      <c r="C316" s="101" t="s">
        <v>444</v>
      </c>
      <c r="D316" s="75">
        <f>BACKUP!D264</f>
        <v>0</v>
      </c>
      <c r="E316" s="75">
        <f>BACKUP!E264</f>
        <v>0</v>
      </c>
      <c r="F316" s="75">
        <f>BACKUP!F264</f>
        <v>0</v>
      </c>
      <c r="G316" s="75">
        <f>BACKUP!G264</f>
        <v>0</v>
      </c>
      <c r="H316" s="75">
        <f>BACKUP!H264</f>
        <v>0</v>
      </c>
      <c r="I316" s="75">
        <f>BACKUP!I264</f>
        <v>0</v>
      </c>
      <c r="J316" s="75">
        <f>BACKUP!J264</f>
        <v>0</v>
      </c>
      <c r="K316" s="75">
        <f>BACKUP!K264</f>
        <v>0</v>
      </c>
      <c r="L316" s="75">
        <f>BACKUP!L264</f>
        <v>0</v>
      </c>
      <c r="M316" s="75">
        <f>BACKUP!M264</f>
        <v>0</v>
      </c>
      <c r="N316" s="75">
        <f>BACKUP!N264</f>
        <v>0</v>
      </c>
      <c r="O316" s="75">
        <f>BACKUP!O264</f>
        <v>0</v>
      </c>
      <c r="P316" s="75">
        <f t="shared" si="238"/>
        <v>0</v>
      </c>
      <c r="Q316" s="76">
        <f t="shared" si="239"/>
        <v>0</v>
      </c>
      <c r="R316" s="75">
        <f t="shared" si="240"/>
        <v>0</v>
      </c>
      <c r="S316" s="63"/>
      <c r="T316" s="76">
        <v>0</v>
      </c>
      <c r="U316" s="76">
        <v>0</v>
      </c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</row>
    <row r="317" spans="1:47">
      <c r="A317" s="75" t="str">
        <f>BACKUP!A265</f>
        <v xml:space="preserve">   Quarterly Actual vs. Flash Variance (Hyperion Adjust.)</v>
      </c>
      <c r="B317" s="63"/>
      <c r="C317" s="101" t="s">
        <v>444</v>
      </c>
      <c r="D317" s="75">
        <f>BACKUP!D265</f>
        <v>0</v>
      </c>
      <c r="E317" s="75">
        <f>BACKUP!E265</f>
        <v>0</v>
      </c>
      <c r="F317" s="75">
        <f>BACKUP!F265</f>
        <v>0</v>
      </c>
      <c r="G317" s="75">
        <f>BACKUP!G265</f>
        <v>0</v>
      </c>
      <c r="H317" s="75">
        <f>BACKUP!H265</f>
        <v>0</v>
      </c>
      <c r="I317" s="75">
        <f>BACKUP!I265</f>
        <v>0</v>
      </c>
      <c r="J317" s="75">
        <f>BACKUP!J265</f>
        <v>0</v>
      </c>
      <c r="K317" s="75">
        <f>BACKUP!K265</f>
        <v>0</v>
      </c>
      <c r="L317" s="75">
        <f>BACKUP!L265</f>
        <v>0</v>
      </c>
      <c r="M317" s="75">
        <f>BACKUP!M265</f>
        <v>0</v>
      </c>
      <c r="N317" s="75">
        <f>BACKUP!N265</f>
        <v>0</v>
      </c>
      <c r="O317" s="75">
        <f>BACKUP!O265</f>
        <v>0</v>
      </c>
      <c r="P317" s="75">
        <f t="shared" si="238"/>
        <v>0</v>
      </c>
      <c r="Q317" s="76">
        <f t="shared" si="239"/>
        <v>0</v>
      </c>
      <c r="R317" s="75">
        <f t="shared" si="240"/>
        <v>0</v>
      </c>
      <c r="S317" s="63"/>
      <c r="T317" s="76">
        <v>0</v>
      </c>
      <c r="U317" s="76">
        <v>0</v>
      </c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</row>
    <row r="318" spans="1:47">
      <c r="A318" s="75" t="str">
        <f>BACKUP!A266</f>
        <v xml:space="preserve">   Actual / Estimate Adjustment</v>
      </c>
      <c r="B318" s="63"/>
      <c r="C318" s="101" t="s">
        <v>444</v>
      </c>
      <c r="D318" s="80">
        <f>BACKUP!D266</f>
        <v>0</v>
      </c>
      <c r="E318" s="80">
        <f>BACKUP!E266</f>
        <v>0</v>
      </c>
      <c r="F318" s="80">
        <f>BACKUP!F266</f>
        <v>0</v>
      </c>
      <c r="G318" s="80">
        <f>BACKUP!G266</f>
        <v>0</v>
      </c>
      <c r="H318" s="80">
        <f>BACKUP!H266</f>
        <v>0</v>
      </c>
      <c r="I318" s="80">
        <f>BACKUP!I266</f>
        <v>0</v>
      </c>
      <c r="J318" s="80">
        <f>BACKUP!J266</f>
        <v>0</v>
      </c>
      <c r="K318" s="80">
        <f>BACKUP!K266</f>
        <v>0</v>
      </c>
      <c r="L318" s="80">
        <f>BACKUP!L266</f>
        <v>0</v>
      </c>
      <c r="M318" s="80">
        <f>BACKUP!M266</f>
        <v>0</v>
      </c>
      <c r="N318" s="80">
        <f>BACKUP!N266</f>
        <v>0</v>
      </c>
      <c r="O318" s="80">
        <f>BACKUP!O266</f>
        <v>0</v>
      </c>
      <c r="P318" s="75">
        <f t="shared" si="238"/>
        <v>0</v>
      </c>
      <c r="Q318" s="76">
        <f t="shared" si="239"/>
        <v>0</v>
      </c>
      <c r="R318" s="75">
        <f t="shared" si="240"/>
        <v>0</v>
      </c>
      <c r="S318" s="63"/>
      <c r="T318" s="76">
        <v>0</v>
      </c>
      <c r="U318" s="76">
        <v>0</v>
      </c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</row>
    <row r="319" spans="1:47" ht="3.95" customHeight="1">
      <c r="A319" s="63"/>
      <c r="B319" s="63"/>
      <c r="C319" s="101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63"/>
      <c r="Q319" s="63"/>
      <c r="R319" s="63"/>
      <c r="S319" s="63"/>
      <c r="T319" s="75"/>
      <c r="U319" s="75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</row>
    <row r="320" spans="1:47">
      <c r="A320" s="83" t="str">
        <f>BACKUP!A268</f>
        <v>Deferred Charges - End. Balance</v>
      </c>
      <c r="B320" s="63"/>
      <c r="C320" s="101"/>
      <c r="D320" s="80">
        <f>BACKUP!D268</f>
        <v>8391</v>
      </c>
      <c r="E320" s="80">
        <f>BACKUP!E268</f>
        <v>10015</v>
      </c>
      <c r="F320" s="80">
        <f>BACKUP!F268</f>
        <v>9127</v>
      </c>
      <c r="G320" s="80">
        <f>BACKUP!G268</f>
        <v>9335</v>
      </c>
      <c r="H320" s="80">
        <f>BACKUP!H268</f>
        <v>9572</v>
      </c>
      <c r="I320" s="80">
        <f>BACKUP!I268</f>
        <v>10257</v>
      </c>
      <c r="J320" s="80">
        <f>BACKUP!J268</f>
        <v>10958</v>
      </c>
      <c r="K320" s="80">
        <f>BACKUP!K268</f>
        <v>10960</v>
      </c>
      <c r="L320" s="80">
        <f>BACKUP!L268</f>
        <v>10959</v>
      </c>
      <c r="M320" s="80">
        <f>BACKUP!M268</f>
        <v>10960</v>
      </c>
      <c r="N320" s="80">
        <f>BACKUP!N268</f>
        <v>10889</v>
      </c>
      <c r="O320" s="80">
        <f>BACKUP!O268</f>
        <v>10121</v>
      </c>
      <c r="P320" s="63"/>
      <c r="Q320" s="63"/>
      <c r="R320" s="63"/>
      <c r="S320" s="63"/>
      <c r="T320" s="75"/>
      <c r="U320" s="75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</row>
    <row r="321" spans="1:47">
      <c r="A321" s="63"/>
      <c r="B321" s="63"/>
      <c r="C321" s="101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75"/>
      <c r="U321" s="75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</row>
    <row r="322" spans="1:47">
      <c r="A322" s="166" t="s">
        <v>452</v>
      </c>
      <c r="B322" s="63"/>
      <c r="C322" s="101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63"/>
      <c r="Q322" s="63"/>
      <c r="R322" s="63"/>
      <c r="S322" s="63"/>
      <c r="T322" s="63"/>
      <c r="U322" s="75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</row>
    <row r="323" spans="1:47">
      <c r="A323" s="75" t="str">
        <f>BACKUP!A402</f>
        <v xml:space="preserve">   Reserves (Mapped to FF) - Standby Parts Gain Deferral</v>
      </c>
      <c r="B323" s="63"/>
      <c r="C323" s="101"/>
      <c r="D323" s="75">
        <f>BACKUP!D402</f>
        <v>0</v>
      </c>
      <c r="E323" s="75">
        <f>BACKUP!E402</f>
        <v>0</v>
      </c>
      <c r="F323" s="75">
        <f>BACKUP!F402</f>
        <v>0</v>
      </c>
      <c r="G323" s="75">
        <f>BACKUP!G402</f>
        <v>0</v>
      </c>
      <c r="H323" s="75">
        <f>BACKUP!H402</f>
        <v>0</v>
      </c>
      <c r="I323" s="75">
        <f>BACKUP!I402</f>
        <v>0</v>
      </c>
      <c r="J323" s="75">
        <f>BACKUP!J402</f>
        <v>-155</v>
      </c>
      <c r="K323" s="75">
        <f>BACKUP!K402</f>
        <v>-135</v>
      </c>
      <c r="L323" s="75">
        <f>BACKUP!L402</f>
        <v>-200</v>
      </c>
      <c r="M323" s="75">
        <f>BACKUP!M402</f>
        <v>-227</v>
      </c>
      <c r="N323" s="75">
        <f>BACKUP!N402</f>
        <v>-137</v>
      </c>
      <c r="O323" s="75">
        <f>BACKUP!O402</f>
        <v>-138</v>
      </c>
      <c r="P323" s="75">
        <f t="shared" ref="P323:P328" si="241">SUM(D323:O323)</f>
        <v>-992</v>
      </c>
      <c r="Q323" s="76">
        <f t="shared" ref="Q323:Q328" si="242">SUM(D323:J323)</f>
        <v>-155</v>
      </c>
      <c r="R323" s="75">
        <f t="shared" ref="R323:R328" si="243">P323-Q323</f>
        <v>-837</v>
      </c>
      <c r="S323" s="63"/>
      <c r="T323" s="63"/>
      <c r="U323" s="75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</row>
    <row r="324" spans="1:47">
      <c r="A324" s="75" t="str">
        <f>BACKUP!A403</f>
        <v xml:space="preserve">        - Rate Case Refund Reserve </v>
      </c>
      <c r="B324" s="63"/>
      <c r="C324" s="101"/>
      <c r="D324" s="75">
        <f>BACKUP!D403</f>
        <v>0</v>
      </c>
      <c r="E324" s="75">
        <f>BACKUP!E403</f>
        <v>0</v>
      </c>
      <c r="F324" s="75">
        <f>BACKUP!F403</f>
        <v>0</v>
      </c>
      <c r="G324" s="75">
        <f>BACKUP!G403</f>
        <v>0</v>
      </c>
      <c r="H324" s="75">
        <f>BACKUP!H403</f>
        <v>0</v>
      </c>
      <c r="I324" s="75">
        <f>BACKUP!I403</f>
        <v>0</v>
      </c>
      <c r="J324" s="75">
        <f>BACKUP!J403</f>
        <v>0</v>
      </c>
      <c r="K324" s="75">
        <f>BACKUP!K403</f>
        <v>0</v>
      </c>
      <c r="L324" s="75">
        <f>BACKUP!L403</f>
        <v>0</v>
      </c>
      <c r="M324" s="75">
        <f>BACKUP!M403</f>
        <v>0</v>
      </c>
      <c r="N324" s="75">
        <f>BACKUP!N403</f>
        <v>0</v>
      </c>
      <c r="O324" s="75">
        <f>BACKUP!O403</f>
        <v>0</v>
      </c>
      <c r="P324" s="75">
        <f t="shared" si="241"/>
        <v>0</v>
      </c>
      <c r="Q324" s="76">
        <f t="shared" si="242"/>
        <v>0</v>
      </c>
      <c r="R324" s="75">
        <f t="shared" si="243"/>
        <v>0</v>
      </c>
      <c r="S324" s="63"/>
      <c r="T324" s="63"/>
      <c r="U324" s="75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</row>
    <row r="325" spans="1:47">
      <c r="A325" s="75" t="str">
        <f>BACKUP!A404</f>
        <v xml:space="preserve">        - Transport</v>
      </c>
      <c r="B325" s="63"/>
      <c r="C325" s="101"/>
      <c r="D325" s="75">
        <f>BACKUP!D404</f>
        <v>517</v>
      </c>
      <c r="E325" s="75">
        <f>BACKUP!E404</f>
        <v>815</v>
      </c>
      <c r="F325" s="75">
        <f>BACKUP!F404</f>
        <v>369</v>
      </c>
      <c r="G325" s="75">
        <f>BACKUP!G404</f>
        <v>-176</v>
      </c>
      <c r="H325" s="75">
        <f>BACKUP!H404</f>
        <v>100</v>
      </c>
      <c r="I325" s="75">
        <f>BACKUP!I404</f>
        <v>-393</v>
      </c>
      <c r="J325" s="75">
        <f>BACKUP!J404</f>
        <v>-247</v>
      </c>
      <c r="K325" s="75">
        <f>BACKUP!K404</f>
        <v>0</v>
      </c>
      <c r="L325" s="75">
        <f>BACKUP!L404</f>
        <v>0</v>
      </c>
      <c r="M325" s="75">
        <f>BACKUP!M404</f>
        <v>0</v>
      </c>
      <c r="N325" s="75">
        <f>BACKUP!N404</f>
        <v>0</v>
      </c>
      <c r="O325" s="75">
        <f>BACKUP!O404</f>
        <v>0</v>
      </c>
      <c r="P325" s="75">
        <f t="shared" si="241"/>
        <v>985</v>
      </c>
      <c r="Q325" s="76">
        <f t="shared" si="242"/>
        <v>985</v>
      </c>
      <c r="R325" s="75">
        <f t="shared" si="243"/>
        <v>0</v>
      </c>
      <c r="S325" s="63"/>
      <c r="T325" s="63"/>
      <c r="U325" s="75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</row>
    <row r="326" spans="1:47">
      <c r="A326" s="75" t="str">
        <f>BACKUP!A405</f>
        <v xml:space="preserve">        - Gas Contract Litigation</v>
      </c>
      <c r="B326" s="63"/>
      <c r="C326" s="101"/>
      <c r="D326" s="75">
        <f>BACKUP!D405</f>
        <v>0</v>
      </c>
      <c r="E326" s="75">
        <f>BACKUP!E405</f>
        <v>0</v>
      </c>
      <c r="F326" s="75">
        <f>BACKUP!F405</f>
        <v>0</v>
      </c>
      <c r="G326" s="75">
        <f>BACKUP!G405</f>
        <v>0</v>
      </c>
      <c r="H326" s="75">
        <f>BACKUP!H405</f>
        <v>0</v>
      </c>
      <c r="I326" s="75">
        <f>BACKUP!I405</f>
        <v>0</v>
      </c>
      <c r="J326" s="75">
        <f>BACKUP!J405</f>
        <v>0</v>
      </c>
      <c r="K326" s="75">
        <f>BACKUP!K405</f>
        <v>0</v>
      </c>
      <c r="L326" s="75">
        <f>BACKUP!L405</f>
        <v>0</v>
      </c>
      <c r="M326" s="75">
        <f>BACKUP!M405</f>
        <v>0</v>
      </c>
      <c r="N326" s="75">
        <f>BACKUP!N405</f>
        <v>0</v>
      </c>
      <c r="O326" s="75">
        <f>BACKUP!O405</f>
        <v>0</v>
      </c>
      <c r="P326" s="75">
        <f t="shared" si="241"/>
        <v>0</v>
      </c>
      <c r="Q326" s="76">
        <f t="shared" si="242"/>
        <v>0</v>
      </c>
      <c r="R326" s="75">
        <f t="shared" si="243"/>
        <v>0</v>
      </c>
      <c r="S326" s="63"/>
      <c r="T326" s="63"/>
      <c r="U326" s="75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</row>
    <row r="327" spans="1:47">
      <c r="A327" s="75" t="str">
        <f>BACKUP!A406</f>
        <v xml:space="preserve">        - Misc.(Def.Interest/Ferraro/Penalty/Def.Well/Other)</v>
      </c>
      <c r="B327" s="63"/>
      <c r="C327" s="101"/>
      <c r="D327" s="75">
        <f>BACKUP!D406</f>
        <v>7</v>
      </c>
      <c r="E327" s="75">
        <f>BACKUP!E406</f>
        <v>0</v>
      </c>
      <c r="F327" s="75">
        <f>BACKUP!F406</f>
        <v>-20</v>
      </c>
      <c r="G327" s="75">
        <f>BACKUP!G406</f>
        <v>57</v>
      </c>
      <c r="H327" s="75">
        <f>BACKUP!H406</f>
        <v>146</v>
      </c>
      <c r="I327" s="75">
        <f>BACKUP!I406</f>
        <v>-90</v>
      </c>
      <c r="J327" s="75">
        <f>BACKUP!J406</f>
        <v>-68</v>
      </c>
      <c r="K327" s="75">
        <f>BACKUP!K406</f>
        <v>0</v>
      </c>
      <c r="L327" s="75">
        <f>BACKUP!L406</f>
        <v>0</v>
      </c>
      <c r="M327" s="75">
        <f>BACKUP!M406</f>
        <v>0</v>
      </c>
      <c r="N327" s="75">
        <f>BACKUP!N406</f>
        <v>0</v>
      </c>
      <c r="O327" s="75">
        <f>BACKUP!O406</f>
        <v>0</v>
      </c>
      <c r="P327" s="75">
        <f t="shared" si="241"/>
        <v>32</v>
      </c>
      <c r="Q327" s="76">
        <f t="shared" si="242"/>
        <v>32</v>
      </c>
      <c r="R327" s="75">
        <f t="shared" si="243"/>
        <v>0</v>
      </c>
      <c r="S327" s="63"/>
      <c r="T327" s="63"/>
      <c r="U327" s="75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</row>
    <row r="328" spans="1:47">
      <c r="A328" s="75" t="str">
        <f>BACKUP!A407</f>
        <v xml:space="preserve">        - Coyanosa </v>
      </c>
      <c r="B328" s="63"/>
      <c r="C328" s="101"/>
      <c r="D328" s="80">
        <f>BACKUP!D407</f>
        <v>0</v>
      </c>
      <c r="E328" s="80">
        <f>BACKUP!E407</f>
        <v>0</v>
      </c>
      <c r="F328" s="80">
        <f>BACKUP!F407</f>
        <v>0</v>
      </c>
      <c r="G328" s="80">
        <f>BACKUP!G407</f>
        <v>0</v>
      </c>
      <c r="H328" s="80">
        <f>BACKUP!H407</f>
        <v>0</v>
      </c>
      <c r="I328" s="80">
        <f>BACKUP!I407</f>
        <v>0</v>
      </c>
      <c r="J328" s="80">
        <f>BACKUP!J407</f>
        <v>0</v>
      </c>
      <c r="K328" s="80">
        <f>BACKUP!K407</f>
        <v>0</v>
      </c>
      <c r="L328" s="80">
        <f>BACKUP!L407</f>
        <v>0</v>
      </c>
      <c r="M328" s="80">
        <f>BACKUP!M407</f>
        <v>0</v>
      </c>
      <c r="N328" s="80">
        <f>BACKUP!N407</f>
        <v>0</v>
      </c>
      <c r="O328" s="80">
        <f>BACKUP!O407</f>
        <v>0</v>
      </c>
      <c r="P328" s="80">
        <f t="shared" si="241"/>
        <v>0</v>
      </c>
      <c r="Q328" s="99">
        <f t="shared" si="242"/>
        <v>0</v>
      </c>
      <c r="R328" s="80">
        <f t="shared" si="243"/>
        <v>0</v>
      </c>
      <c r="S328" s="63"/>
      <c r="T328" s="63"/>
      <c r="U328" s="75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</row>
    <row r="329" spans="1:47" ht="3.95" customHeight="1">
      <c r="A329" s="75"/>
      <c r="B329" s="63"/>
      <c r="C329" s="101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63"/>
      <c r="Q329" s="63"/>
      <c r="R329" s="63"/>
      <c r="S329" s="63"/>
      <c r="T329" s="63"/>
      <c r="U329" s="75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</row>
    <row r="330" spans="1:47">
      <c r="A330" s="166" t="s">
        <v>434</v>
      </c>
      <c r="B330" s="63"/>
      <c r="C330" s="101" t="s">
        <v>444</v>
      </c>
      <c r="D330" s="80">
        <f>SUM(D323:D328)</f>
        <v>524</v>
      </c>
      <c r="E330" s="80">
        <f t="shared" ref="E330:R330" si="244">SUM(E323:E328)</f>
        <v>815</v>
      </c>
      <c r="F330" s="80">
        <f t="shared" si="244"/>
        <v>349</v>
      </c>
      <c r="G330" s="80">
        <f t="shared" si="244"/>
        <v>-119</v>
      </c>
      <c r="H330" s="80">
        <f t="shared" si="244"/>
        <v>246</v>
      </c>
      <c r="I330" s="80">
        <f t="shared" si="244"/>
        <v>-483</v>
      </c>
      <c r="J330" s="80">
        <f t="shared" si="244"/>
        <v>-470</v>
      </c>
      <c r="K330" s="80">
        <f t="shared" si="244"/>
        <v>-135</v>
      </c>
      <c r="L330" s="80">
        <f t="shared" si="244"/>
        <v>-200</v>
      </c>
      <c r="M330" s="80">
        <f t="shared" si="244"/>
        <v>-227</v>
      </c>
      <c r="N330" s="80">
        <f t="shared" si="244"/>
        <v>-137</v>
      </c>
      <c r="O330" s="80">
        <f t="shared" si="244"/>
        <v>-138</v>
      </c>
      <c r="P330" s="80">
        <f t="shared" si="244"/>
        <v>25</v>
      </c>
      <c r="Q330" s="80">
        <f t="shared" si="244"/>
        <v>862</v>
      </c>
      <c r="R330" s="80">
        <f t="shared" si="244"/>
        <v>-837</v>
      </c>
      <c r="S330" s="63"/>
      <c r="T330" s="63"/>
      <c r="U330" s="75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</row>
    <row r="331" spans="1:47">
      <c r="A331" s="63"/>
      <c r="B331" s="63"/>
      <c r="C331" s="101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75"/>
      <c r="U331" s="75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</row>
    <row r="332" spans="1:47">
      <c r="A332" s="83" t="str">
        <f>BACKUP!A440</f>
        <v>Other Deferred Credits - Beg. Balance</v>
      </c>
      <c r="B332" s="63"/>
      <c r="C332" s="101"/>
      <c r="D332" s="75">
        <f>BACKUP!D440</f>
        <v>1829</v>
      </c>
      <c r="E332" s="75">
        <f>BACKUP!E440</f>
        <v>1828</v>
      </c>
      <c r="F332" s="75">
        <f>BACKUP!F440</f>
        <v>1828</v>
      </c>
      <c r="G332" s="75">
        <f>BACKUP!G440</f>
        <v>1830</v>
      </c>
      <c r="H332" s="75">
        <f>BACKUP!H440</f>
        <v>1825</v>
      </c>
      <c r="I332" s="75">
        <f>BACKUP!I440</f>
        <v>1827</v>
      </c>
      <c r="J332" s="75">
        <f>BACKUP!J440</f>
        <v>1830</v>
      </c>
      <c r="K332" s="75">
        <f>BACKUP!K440</f>
        <v>1830</v>
      </c>
      <c r="L332" s="75">
        <f>BACKUP!L440</f>
        <v>1830</v>
      </c>
      <c r="M332" s="75">
        <f>BACKUP!M440</f>
        <v>1830</v>
      </c>
      <c r="N332" s="75">
        <f>BACKUP!N440</f>
        <v>1918</v>
      </c>
      <c r="O332" s="75">
        <f>BACKUP!O440</f>
        <v>1918</v>
      </c>
      <c r="P332" s="75"/>
      <c r="Q332" s="75"/>
      <c r="R332" s="75"/>
      <c r="S332" s="63"/>
      <c r="T332" s="75"/>
      <c r="U332" s="75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</row>
    <row r="333" spans="1:47">
      <c r="A333" s="75" t="str">
        <f>BACKUP!A441</f>
        <v xml:space="preserve">   Unamortized Gain on Reacquired Debt</v>
      </c>
      <c r="B333" s="63"/>
      <c r="C333" s="101" t="s">
        <v>444</v>
      </c>
      <c r="D333" s="75">
        <f>BACKUP!D441</f>
        <v>-1</v>
      </c>
      <c r="E333" s="75">
        <f>BACKUP!E441</f>
        <v>0</v>
      </c>
      <c r="F333" s="75">
        <f>BACKUP!F441</f>
        <v>-1</v>
      </c>
      <c r="G333" s="75">
        <f>BACKUP!G441</f>
        <v>0</v>
      </c>
      <c r="H333" s="75">
        <f>BACKUP!H441</f>
        <v>-1</v>
      </c>
      <c r="I333" s="75">
        <f>BACKUP!I441</f>
        <v>-1</v>
      </c>
      <c r="J333" s="75">
        <f>BACKUP!J441</f>
        <v>0</v>
      </c>
      <c r="K333" s="75">
        <f>BACKUP!K441</f>
        <v>-1</v>
      </c>
      <c r="L333" s="75">
        <f>BACKUP!L441</f>
        <v>0</v>
      </c>
      <c r="M333" s="75">
        <f>BACKUP!M441</f>
        <v>-1</v>
      </c>
      <c r="N333" s="75">
        <f>BACKUP!N441</f>
        <v>0</v>
      </c>
      <c r="O333" s="75">
        <f>BACKUP!O441</f>
        <v>-1</v>
      </c>
      <c r="P333" s="75">
        <f t="shared" ref="P333:P338" si="245">SUM(D333:O333)</f>
        <v>-7</v>
      </c>
      <c r="Q333" s="76">
        <f t="shared" ref="Q333:Q338" si="246">SUM(D333:J333)</f>
        <v>-4</v>
      </c>
      <c r="R333" s="75">
        <f t="shared" ref="R333:R338" si="247">P333-Q333</f>
        <v>-3</v>
      </c>
      <c r="S333" s="63"/>
      <c r="T333" s="76">
        <v>0</v>
      </c>
      <c r="U333" s="76">
        <v>0</v>
      </c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</row>
    <row r="334" spans="1:47">
      <c r="A334" s="75" t="str">
        <f>BACKUP!A442</f>
        <v xml:space="preserve">   Reverse Auction 1 (Incl. 10% Supply)</v>
      </c>
      <c r="B334" s="63"/>
      <c r="C334" s="101" t="s">
        <v>444</v>
      </c>
      <c r="D334" s="75">
        <f>BACKUP!D442</f>
        <v>0</v>
      </c>
      <c r="E334" s="75">
        <f>BACKUP!E442</f>
        <v>0</v>
      </c>
      <c r="F334" s="75">
        <f>BACKUP!F442</f>
        <v>0</v>
      </c>
      <c r="G334" s="75">
        <f>BACKUP!G442</f>
        <v>0</v>
      </c>
      <c r="H334" s="75">
        <f>BACKUP!H442</f>
        <v>0</v>
      </c>
      <c r="I334" s="75">
        <f>BACKUP!I442</f>
        <v>0</v>
      </c>
      <c r="J334" s="75">
        <f>BACKUP!J442</f>
        <v>0</v>
      </c>
      <c r="K334" s="75">
        <f>BACKUP!K442</f>
        <v>0</v>
      </c>
      <c r="L334" s="75">
        <f>BACKUP!L442</f>
        <v>0</v>
      </c>
      <c r="M334" s="75">
        <f>BACKUP!M442</f>
        <v>0</v>
      </c>
      <c r="N334" s="75">
        <f>BACKUP!N442</f>
        <v>0</v>
      </c>
      <c r="O334" s="75">
        <f>BACKUP!O442</f>
        <v>0</v>
      </c>
      <c r="P334" s="75">
        <f t="shared" si="245"/>
        <v>0</v>
      </c>
      <c r="Q334" s="76">
        <f t="shared" si="246"/>
        <v>0</v>
      </c>
      <c r="R334" s="75">
        <f t="shared" si="247"/>
        <v>0</v>
      </c>
      <c r="S334" s="63"/>
      <c r="T334" s="76">
        <v>0</v>
      </c>
      <c r="U334" s="76">
        <v>0</v>
      </c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</row>
    <row r="335" spans="1:47">
      <c r="A335" s="75" t="str">
        <f>BACKUP!A443</f>
        <v xml:space="preserve">   Reverse Auction 2 </v>
      </c>
      <c r="B335" s="63"/>
      <c r="C335" s="101" t="s">
        <v>444</v>
      </c>
      <c r="D335" s="75">
        <f>BACKUP!D443</f>
        <v>0</v>
      </c>
      <c r="E335" s="75">
        <f>BACKUP!E443</f>
        <v>0</v>
      </c>
      <c r="F335" s="75">
        <f>BACKUP!F443</f>
        <v>0</v>
      </c>
      <c r="G335" s="75">
        <f>BACKUP!G443</f>
        <v>0</v>
      </c>
      <c r="H335" s="75">
        <f>BACKUP!H443</f>
        <v>0</v>
      </c>
      <c r="I335" s="75">
        <f>BACKUP!I443</f>
        <v>0</v>
      </c>
      <c r="J335" s="75">
        <f>BACKUP!J443</f>
        <v>0</v>
      </c>
      <c r="K335" s="75">
        <f>BACKUP!K443</f>
        <v>0</v>
      </c>
      <c r="L335" s="75">
        <f>BACKUP!L443</f>
        <v>0</v>
      </c>
      <c r="M335" s="75">
        <f>BACKUP!M443</f>
        <v>89</v>
      </c>
      <c r="N335" s="75">
        <f>BACKUP!N443</f>
        <v>0</v>
      </c>
      <c r="O335" s="75">
        <f>BACKUP!O443</f>
        <v>-985</v>
      </c>
      <c r="P335" s="75">
        <f t="shared" si="245"/>
        <v>-896</v>
      </c>
      <c r="Q335" s="76">
        <f t="shared" si="246"/>
        <v>0</v>
      </c>
      <c r="R335" s="75">
        <f t="shared" si="247"/>
        <v>-896</v>
      </c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</row>
    <row r="336" spans="1:47">
      <c r="A336" s="75" t="str">
        <f>BACKUP!A444</f>
        <v xml:space="preserve">   Other</v>
      </c>
      <c r="B336" s="63"/>
      <c r="C336" s="101" t="s">
        <v>444</v>
      </c>
      <c r="D336" s="75">
        <f>BACKUP!D444</f>
        <v>0</v>
      </c>
      <c r="E336" s="75">
        <f>BACKUP!E444</f>
        <v>0</v>
      </c>
      <c r="F336" s="75">
        <f>BACKUP!F444</f>
        <v>0</v>
      </c>
      <c r="G336" s="75">
        <f>BACKUP!G444</f>
        <v>0</v>
      </c>
      <c r="H336" s="75">
        <f>BACKUP!H444</f>
        <v>0</v>
      </c>
      <c r="I336" s="75">
        <f>BACKUP!I444</f>
        <v>0</v>
      </c>
      <c r="J336" s="75">
        <f>BACKUP!J444</f>
        <v>0</v>
      </c>
      <c r="K336" s="75">
        <f>BACKUP!K444</f>
        <v>0</v>
      </c>
      <c r="L336" s="75">
        <f>BACKUP!L444</f>
        <v>0</v>
      </c>
      <c r="M336" s="75">
        <f>BACKUP!M444</f>
        <v>0</v>
      </c>
      <c r="N336" s="75">
        <f>BACKUP!N444</f>
        <v>0</v>
      </c>
      <c r="O336" s="75">
        <f>BACKUP!O444</f>
        <v>0</v>
      </c>
      <c r="P336" s="75">
        <f t="shared" si="245"/>
        <v>0</v>
      </c>
      <c r="Q336" s="76">
        <f t="shared" si="246"/>
        <v>0</v>
      </c>
      <c r="R336" s="75">
        <f t="shared" si="247"/>
        <v>0</v>
      </c>
      <c r="S336" s="63"/>
      <c r="T336" s="76">
        <v>0</v>
      </c>
      <c r="U336" s="76">
        <v>0</v>
      </c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</row>
    <row r="337" spans="1:47">
      <c r="A337" s="75" t="str">
        <f>BACKUP!A445</f>
        <v xml:space="preserve">   Other</v>
      </c>
      <c r="B337" s="63"/>
      <c r="C337" s="101" t="s">
        <v>444</v>
      </c>
      <c r="D337" s="75">
        <f>BACKUP!D445</f>
        <v>0</v>
      </c>
      <c r="E337" s="75">
        <f>BACKUP!E445</f>
        <v>0</v>
      </c>
      <c r="F337" s="75">
        <f>BACKUP!F445</f>
        <v>0</v>
      </c>
      <c r="G337" s="75">
        <f>BACKUP!G445</f>
        <v>0</v>
      </c>
      <c r="H337" s="75">
        <f>BACKUP!H445</f>
        <v>0</v>
      </c>
      <c r="I337" s="75">
        <f>BACKUP!I445</f>
        <v>0</v>
      </c>
      <c r="J337" s="75">
        <f>BACKUP!J445</f>
        <v>0</v>
      </c>
      <c r="K337" s="75">
        <f>BACKUP!K445</f>
        <v>0</v>
      </c>
      <c r="L337" s="75">
        <f>BACKUP!L445</f>
        <v>0</v>
      </c>
      <c r="M337" s="75">
        <f>BACKUP!M445</f>
        <v>0</v>
      </c>
      <c r="N337" s="75">
        <f>BACKUP!N445</f>
        <v>0</v>
      </c>
      <c r="O337" s="75">
        <f>BACKUP!O445</f>
        <v>0</v>
      </c>
      <c r="P337" s="75">
        <f t="shared" si="245"/>
        <v>0</v>
      </c>
      <c r="Q337" s="76">
        <f t="shared" si="246"/>
        <v>0</v>
      </c>
      <c r="R337" s="75">
        <f t="shared" si="247"/>
        <v>0</v>
      </c>
      <c r="S337" s="63"/>
      <c r="T337" s="76"/>
      <c r="U337" s="76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</row>
    <row r="338" spans="1:47">
      <c r="A338" s="75" t="str">
        <f>BACKUP!A446</f>
        <v xml:space="preserve">   Actual / Estimate Adjustment </v>
      </c>
      <c r="B338" s="63"/>
      <c r="C338" s="101" t="s">
        <v>444</v>
      </c>
      <c r="D338" s="80">
        <f>BACKUP!D446</f>
        <v>0</v>
      </c>
      <c r="E338" s="80">
        <f>BACKUP!E446</f>
        <v>0</v>
      </c>
      <c r="F338" s="80">
        <f>BACKUP!F446</f>
        <v>3</v>
      </c>
      <c r="G338" s="80">
        <f>BACKUP!G446</f>
        <v>-5</v>
      </c>
      <c r="H338" s="80">
        <f>BACKUP!H446</f>
        <v>3</v>
      </c>
      <c r="I338" s="80">
        <f>BACKUP!I446</f>
        <v>4</v>
      </c>
      <c r="J338" s="80">
        <f>BACKUP!J446</f>
        <v>0</v>
      </c>
      <c r="K338" s="80">
        <f>BACKUP!K446</f>
        <v>1</v>
      </c>
      <c r="L338" s="80">
        <f>BACKUP!L446</f>
        <v>0</v>
      </c>
      <c r="M338" s="80">
        <f>BACKUP!M446</f>
        <v>0</v>
      </c>
      <c r="N338" s="80">
        <f>BACKUP!N446</f>
        <v>0</v>
      </c>
      <c r="O338" s="80">
        <f>BACKUP!O446</f>
        <v>0</v>
      </c>
      <c r="P338" s="75">
        <f t="shared" si="245"/>
        <v>6</v>
      </c>
      <c r="Q338" s="76">
        <f t="shared" si="246"/>
        <v>5</v>
      </c>
      <c r="R338" s="75">
        <f t="shared" si="247"/>
        <v>1</v>
      </c>
      <c r="S338" s="63"/>
      <c r="T338" s="76"/>
      <c r="U338" s="76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</row>
    <row r="339" spans="1:47" ht="3.95" customHeight="1">
      <c r="A339" s="63"/>
      <c r="B339" s="63"/>
      <c r="C339" s="101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63"/>
      <c r="Q339" s="63"/>
      <c r="R339" s="63"/>
      <c r="S339" s="63"/>
      <c r="T339" s="63"/>
      <c r="U339" s="75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</row>
    <row r="340" spans="1:47">
      <c r="A340" s="83" t="str">
        <f>BACKUP!A448</f>
        <v>Other Deferred Credits - End. Balance</v>
      </c>
      <c r="B340" s="63"/>
      <c r="C340" s="101"/>
      <c r="D340" s="80">
        <f>BACKUP!D448</f>
        <v>1828</v>
      </c>
      <c r="E340" s="80">
        <f>BACKUP!E448</f>
        <v>1828</v>
      </c>
      <c r="F340" s="80">
        <f>BACKUP!F448</f>
        <v>1830</v>
      </c>
      <c r="G340" s="80">
        <f>BACKUP!G448</f>
        <v>1825</v>
      </c>
      <c r="H340" s="80">
        <f>BACKUP!H448</f>
        <v>1827</v>
      </c>
      <c r="I340" s="80">
        <f>BACKUP!I448</f>
        <v>1830</v>
      </c>
      <c r="J340" s="80">
        <f>BACKUP!J448</f>
        <v>1830</v>
      </c>
      <c r="K340" s="80">
        <f>BACKUP!K448</f>
        <v>1830</v>
      </c>
      <c r="L340" s="80">
        <f>BACKUP!L448</f>
        <v>1830</v>
      </c>
      <c r="M340" s="80">
        <f>BACKUP!M448</f>
        <v>1918</v>
      </c>
      <c r="N340" s="80">
        <f>BACKUP!N448</f>
        <v>1918</v>
      </c>
      <c r="O340" s="80">
        <f>BACKUP!O448</f>
        <v>932</v>
      </c>
      <c r="P340" s="63"/>
      <c r="Q340" s="63"/>
      <c r="R340" s="63"/>
      <c r="S340" s="63"/>
      <c r="T340" s="63"/>
      <c r="U340" s="75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</row>
    <row r="341" spans="1:47">
      <c r="A341" s="63"/>
      <c r="B341" s="63"/>
      <c r="C341" s="101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</row>
    <row r="342" spans="1:47">
      <c r="A342" s="83" t="str">
        <f>BACKUP!A247</f>
        <v>Regulatory Assets (Noncurrent) - End. Balance</v>
      </c>
      <c r="B342" s="63"/>
      <c r="C342" s="101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</row>
    <row r="343" spans="1:47">
      <c r="A343" s="75" t="str">
        <f>BACKUP!A249</f>
        <v xml:space="preserve">      Change</v>
      </c>
      <c r="B343" s="63"/>
      <c r="C343" s="101" t="s">
        <v>453</v>
      </c>
      <c r="D343" s="75">
        <f>BACKUP!D249</f>
        <v>2772</v>
      </c>
      <c r="E343" s="75">
        <f>BACKUP!E249</f>
        <v>-3495</v>
      </c>
      <c r="F343" s="75">
        <f>BACKUP!F249</f>
        <v>-346</v>
      </c>
      <c r="G343" s="75">
        <f>BACKUP!G249</f>
        <v>-1502</v>
      </c>
      <c r="H343" s="75">
        <f>BACKUP!H249</f>
        <v>-4305</v>
      </c>
      <c r="I343" s="75">
        <f>BACKUP!I249</f>
        <v>-3265</v>
      </c>
      <c r="J343" s="75">
        <f>BACKUP!J249</f>
        <v>-3422</v>
      </c>
      <c r="K343" s="75">
        <f>BACKUP!K249</f>
        <v>-341</v>
      </c>
      <c r="L343" s="75">
        <f>BACKUP!L249</f>
        <v>-418</v>
      </c>
      <c r="M343" s="75">
        <f>BACKUP!M249</f>
        <v>-317</v>
      </c>
      <c r="N343" s="75">
        <f>BACKUP!N249</f>
        <v>-918</v>
      </c>
      <c r="O343" s="75">
        <f>BACKUP!O249</f>
        <v>9786</v>
      </c>
      <c r="P343" s="75">
        <f>SUM(D343:O343)</f>
        <v>-5771</v>
      </c>
      <c r="Q343" s="76">
        <f>SUM(D343:J343)</f>
        <v>-13563</v>
      </c>
      <c r="R343" s="75">
        <f>P343-Q343</f>
        <v>7792</v>
      </c>
      <c r="S343" s="63"/>
      <c r="T343" s="63"/>
      <c r="U343" s="76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</row>
    <row r="344" spans="1:47">
      <c r="A344" s="63"/>
      <c r="B344" s="63"/>
      <c r="C344" s="101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75"/>
      <c r="U344" s="75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</row>
    <row r="345" spans="1:47">
      <c r="A345" s="60" t="str">
        <f>BACKUP!A436</f>
        <v>Regulatory Liabilities (Noncurrent) - End. Balance</v>
      </c>
      <c r="B345" s="63"/>
      <c r="C345" s="101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75"/>
      <c r="U345" s="75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</row>
    <row r="346" spans="1:47">
      <c r="A346" s="63" t="str">
        <f>BACKUP!A438</f>
        <v xml:space="preserve">      Change</v>
      </c>
      <c r="B346" s="63"/>
      <c r="C346" s="101" t="s">
        <v>453</v>
      </c>
      <c r="D346" s="63">
        <f>BACKUP!D438</f>
        <v>0</v>
      </c>
      <c r="E346" s="63">
        <f>BACKUP!E438</f>
        <v>0</v>
      </c>
      <c r="F346" s="63">
        <f>BACKUP!F438</f>
        <v>0</v>
      </c>
      <c r="G346" s="63">
        <f>BACKUP!G438</f>
        <v>0</v>
      </c>
      <c r="H346" s="63">
        <f>BACKUP!H438</f>
        <v>0</v>
      </c>
      <c r="I346" s="63">
        <f>BACKUP!I438</f>
        <v>0</v>
      </c>
      <c r="J346" s="63">
        <f>BACKUP!J438</f>
        <v>0</v>
      </c>
      <c r="K346" s="63">
        <f>BACKUP!K438</f>
        <v>0</v>
      </c>
      <c r="L346" s="63">
        <f>BACKUP!L438</f>
        <v>0</v>
      </c>
      <c r="M346" s="63">
        <f>BACKUP!M438</f>
        <v>0</v>
      </c>
      <c r="N346" s="63">
        <f>BACKUP!N438</f>
        <v>0</v>
      </c>
      <c r="O346" s="63">
        <f>BACKUP!O438</f>
        <v>0</v>
      </c>
      <c r="P346" s="75">
        <f>SUM(D346:O346)</f>
        <v>0</v>
      </c>
      <c r="Q346" s="76">
        <f>SUM(D346:J346)</f>
        <v>0</v>
      </c>
      <c r="R346" s="75">
        <f>P346-Q346</f>
        <v>0</v>
      </c>
      <c r="S346" s="63"/>
      <c r="T346" s="75"/>
      <c r="U346" s="75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</row>
    <row r="347" spans="1:47">
      <c r="A347" s="63"/>
      <c r="B347" s="63"/>
      <c r="C347" s="101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75"/>
      <c r="U347" s="75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</row>
    <row r="348" spans="1:47">
      <c r="A348" s="60" t="str">
        <f>BACKUP!A478</f>
        <v>Long Term Debt - Beg. Balance</v>
      </c>
      <c r="B348" s="63"/>
      <c r="C348" s="101"/>
      <c r="D348" s="75">
        <f>BACKUP!D478</f>
        <v>499666</v>
      </c>
      <c r="E348" s="75">
        <f>BACKUP!E478</f>
        <v>499672</v>
      </c>
      <c r="F348" s="75">
        <f>BACKUP!F478</f>
        <v>499678</v>
      </c>
      <c r="G348" s="75">
        <f>BACKUP!G478</f>
        <v>499685</v>
      </c>
      <c r="H348" s="75">
        <f>BACKUP!H478</f>
        <v>499691</v>
      </c>
      <c r="I348" s="75">
        <f>BACKUP!I478</f>
        <v>499698</v>
      </c>
      <c r="J348" s="75">
        <f>BACKUP!J478</f>
        <v>499704</v>
      </c>
      <c r="K348" s="75">
        <f>BACKUP!K478</f>
        <v>499711</v>
      </c>
      <c r="L348" s="75">
        <f>BACKUP!L478</f>
        <v>499717</v>
      </c>
      <c r="M348" s="75">
        <f>BACKUP!M478</f>
        <v>499724</v>
      </c>
      <c r="N348" s="75">
        <f>BACKUP!N478</f>
        <v>499730</v>
      </c>
      <c r="O348" s="75">
        <f>BACKUP!O478</f>
        <v>499737</v>
      </c>
      <c r="P348" s="75"/>
      <c r="Q348" s="63"/>
      <c r="R348" s="63"/>
      <c r="S348" s="63"/>
      <c r="T348" s="75"/>
      <c r="U348" s="75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</row>
    <row r="349" spans="1:47">
      <c r="A349" s="63" t="str">
        <f>BACKUP!A479</f>
        <v xml:space="preserve">   Principal - $250.0 MM @ 8.0% (Reclass to Cur. Liab.)</v>
      </c>
      <c r="B349" s="63"/>
      <c r="C349" s="101" t="s">
        <v>454</v>
      </c>
      <c r="D349" s="75">
        <f>BACKUP!D479</f>
        <v>0</v>
      </c>
      <c r="E349" s="75">
        <f>BACKUP!E479</f>
        <v>0</v>
      </c>
      <c r="F349" s="75">
        <f>BACKUP!F479</f>
        <v>0</v>
      </c>
      <c r="G349" s="75">
        <f>BACKUP!G479</f>
        <v>0</v>
      </c>
      <c r="H349" s="75">
        <f>BACKUP!H479</f>
        <v>0</v>
      </c>
      <c r="I349" s="75">
        <f>BACKUP!I479</f>
        <v>0</v>
      </c>
      <c r="J349" s="75">
        <f>BACKUP!J479</f>
        <v>0</v>
      </c>
      <c r="K349" s="75">
        <f>BACKUP!K479</f>
        <v>0</v>
      </c>
      <c r="L349" s="75">
        <f>BACKUP!L479</f>
        <v>0</v>
      </c>
      <c r="M349" s="75">
        <f>BACKUP!M479</f>
        <v>0</v>
      </c>
      <c r="N349" s="75">
        <f>BACKUP!N479</f>
        <v>0</v>
      </c>
      <c r="O349" s="75">
        <f>BACKUP!O479</f>
        <v>0</v>
      </c>
      <c r="P349" s="75">
        <f>BACKUP!P479</f>
        <v>0</v>
      </c>
      <c r="Q349" s="63"/>
      <c r="R349" s="63"/>
      <c r="S349" s="63"/>
      <c r="T349" s="75"/>
      <c r="U349" s="75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</row>
    <row r="350" spans="1:47">
      <c r="A350" s="63" t="str">
        <f>BACKUP!A480</f>
        <v xml:space="preserve">                - $100.0 MM @ 6.875%</v>
      </c>
      <c r="B350" s="63"/>
      <c r="C350" s="101" t="s">
        <v>454</v>
      </c>
      <c r="D350" s="75">
        <f>BACKUP!D480</f>
        <v>0</v>
      </c>
      <c r="E350" s="75">
        <f>BACKUP!E480</f>
        <v>0</v>
      </c>
      <c r="F350" s="75">
        <f>BACKUP!F480</f>
        <v>0</v>
      </c>
      <c r="G350" s="75">
        <f>BACKUP!G480</f>
        <v>0</v>
      </c>
      <c r="H350" s="75">
        <f>BACKUP!H480</f>
        <v>0</v>
      </c>
      <c r="I350" s="75">
        <f>BACKUP!I480</f>
        <v>0</v>
      </c>
      <c r="J350" s="75">
        <f>BACKUP!J480</f>
        <v>0</v>
      </c>
      <c r="K350" s="75">
        <f>BACKUP!K480</f>
        <v>0</v>
      </c>
      <c r="L350" s="75">
        <f>BACKUP!L480</f>
        <v>0</v>
      </c>
      <c r="M350" s="75">
        <f>BACKUP!M480</f>
        <v>0</v>
      </c>
      <c r="N350" s="75">
        <f>BACKUP!N480</f>
        <v>0</v>
      </c>
      <c r="O350" s="75">
        <f>BACKUP!O480</f>
        <v>0</v>
      </c>
      <c r="P350" s="75">
        <f>BACKUP!P480</f>
        <v>0</v>
      </c>
      <c r="Q350" s="63"/>
      <c r="R350" s="63"/>
      <c r="S350" s="63"/>
      <c r="T350" s="75"/>
      <c r="U350" s="75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</row>
    <row r="351" spans="1:47">
      <c r="A351" s="63" t="str">
        <f>BACKUP!A481</f>
        <v xml:space="preserve">                - $150.0 MM @ 6.75%</v>
      </c>
      <c r="B351" s="63"/>
      <c r="C351" s="101" t="s">
        <v>454</v>
      </c>
      <c r="D351" s="75">
        <f>BACKUP!D481</f>
        <v>0</v>
      </c>
      <c r="E351" s="75">
        <f>BACKUP!E481</f>
        <v>0</v>
      </c>
      <c r="F351" s="75">
        <f>BACKUP!F481</f>
        <v>0</v>
      </c>
      <c r="G351" s="75">
        <f>BACKUP!G481</f>
        <v>0</v>
      </c>
      <c r="H351" s="75">
        <f>BACKUP!H481</f>
        <v>0</v>
      </c>
      <c r="I351" s="75">
        <f>BACKUP!I481</f>
        <v>0</v>
      </c>
      <c r="J351" s="75">
        <f>BACKUP!J481</f>
        <v>0</v>
      </c>
      <c r="K351" s="75">
        <f>BACKUP!K481</f>
        <v>0</v>
      </c>
      <c r="L351" s="75">
        <f>BACKUP!L481</f>
        <v>0</v>
      </c>
      <c r="M351" s="75">
        <f>BACKUP!M481</f>
        <v>0</v>
      </c>
      <c r="N351" s="75">
        <f>BACKUP!N481</f>
        <v>0</v>
      </c>
      <c r="O351" s="75">
        <f>BACKUP!O481</f>
        <v>0</v>
      </c>
      <c r="P351" s="75">
        <f>BACKUP!P481</f>
        <v>0</v>
      </c>
      <c r="Q351" s="63"/>
      <c r="R351" s="63"/>
      <c r="S351" s="63"/>
      <c r="T351" s="75"/>
      <c r="U351" s="75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</row>
    <row r="352" spans="1:47">
      <c r="A352" s="63" t="str">
        <f>BACKUP!A482</f>
        <v xml:space="preserve">   Debt Discount</v>
      </c>
      <c r="B352" s="63"/>
      <c r="C352" s="101" t="s">
        <v>444</v>
      </c>
      <c r="D352" s="75">
        <f>BACKUP!D482</f>
        <v>6</v>
      </c>
      <c r="E352" s="75">
        <f>BACKUP!E482</f>
        <v>6</v>
      </c>
      <c r="F352" s="75">
        <f>BACKUP!F482</f>
        <v>7</v>
      </c>
      <c r="G352" s="75">
        <f>BACKUP!G482</f>
        <v>6</v>
      </c>
      <c r="H352" s="75">
        <f>BACKUP!H482</f>
        <v>7</v>
      </c>
      <c r="I352" s="75">
        <f>BACKUP!I482</f>
        <v>6</v>
      </c>
      <c r="J352" s="75">
        <f>BACKUP!J482</f>
        <v>7</v>
      </c>
      <c r="K352" s="75">
        <f>BACKUP!K482</f>
        <v>6</v>
      </c>
      <c r="L352" s="75">
        <f>BACKUP!L482</f>
        <v>7</v>
      </c>
      <c r="M352" s="75">
        <f>BACKUP!M482</f>
        <v>6</v>
      </c>
      <c r="N352" s="75">
        <f>BACKUP!N482</f>
        <v>7</v>
      </c>
      <c r="O352" s="75">
        <f>BACKUP!O482</f>
        <v>6</v>
      </c>
      <c r="P352" s="75">
        <f>BACKUP!P482</f>
        <v>77</v>
      </c>
      <c r="Q352" s="63"/>
      <c r="R352" s="63"/>
      <c r="S352" s="63"/>
      <c r="T352" s="75"/>
      <c r="U352" s="75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</row>
    <row r="353" spans="1:47">
      <c r="A353" s="63" t="str">
        <f>BACKUP!A483</f>
        <v xml:space="preserve">   Actual / Estimate Adjustment </v>
      </c>
      <c r="B353" s="63"/>
      <c r="C353" s="101"/>
      <c r="D353" s="80">
        <f>BACKUP!D483</f>
        <v>0</v>
      </c>
      <c r="E353" s="80">
        <f>BACKUP!E483</f>
        <v>0</v>
      </c>
      <c r="F353" s="80">
        <f>BACKUP!F483</f>
        <v>0</v>
      </c>
      <c r="G353" s="80">
        <f>BACKUP!G483</f>
        <v>0</v>
      </c>
      <c r="H353" s="80">
        <f>BACKUP!H483</f>
        <v>0</v>
      </c>
      <c r="I353" s="80">
        <f>BACKUP!I483</f>
        <v>0</v>
      </c>
      <c r="J353" s="80">
        <f>BACKUP!J483</f>
        <v>0</v>
      </c>
      <c r="K353" s="80">
        <f>BACKUP!K483</f>
        <v>0</v>
      </c>
      <c r="L353" s="80">
        <f>BACKUP!L483</f>
        <v>0</v>
      </c>
      <c r="M353" s="80">
        <f>BACKUP!M483</f>
        <v>0</v>
      </c>
      <c r="N353" s="80">
        <f>BACKUP!N483</f>
        <v>0</v>
      </c>
      <c r="O353" s="80">
        <f>BACKUP!O483</f>
        <v>0</v>
      </c>
      <c r="P353" s="75">
        <f>BACKUP!P483</f>
        <v>0</v>
      </c>
      <c r="Q353" s="63"/>
      <c r="R353" s="63"/>
      <c r="S353" s="63"/>
      <c r="T353" s="75"/>
      <c r="U353" s="75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</row>
    <row r="354" spans="1:47" ht="3.95" customHeight="1">
      <c r="A354" s="63"/>
      <c r="B354" s="63"/>
      <c r="C354" s="101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75"/>
      <c r="U354" s="75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</row>
    <row r="355" spans="1:47">
      <c r="A355" s="60" t="str">
        <f>BACKUP!A485</f>
        <v>Long Term Debt - End. Balance</v>
      </c>
      <c r="B355" s="63"/>
      <c r="C355" s="101"/>
      <c r="D355" s="75">
        <f>BACKUP!D485</f>
        <v>499672</v>
      </c>
      <c r="E355" s="75">
        <f>BACKUP!E485</f>
        <v>499678</v>
      </c>
      <c r="F355" s="75">
        <f>BACKUP!F485</f>
        <v>499685</v>
      </c>
      <c r="G355" s="75">
        <f>BACKUP!G485</f>
        <v>499691</v>
      </c>
      <c r="H355" s="75">
        <f>BACKUP!H485</f>
        <v>499698</v>
      </c>
      <c r="I355" s="75">
        <f>BACKUP!I485</f>
        <v>499704</v>
      </c>
      <c r="J355" s="75">
        <f>BACKUP!J485</f>
        <v>499711</v>
      </c>
      <c r="K355" s="75">
        <f>BACKUP!K485</f>
        <v>499717</v>
      </c>
      <c r="L355" s="75">
        <f>BACKUP!L485</f>
        <v>499724</v>
      </c>
      <c r="M355" s="75">
        <f>BACKUP!M485</f>
        <v>499730</v>
      </c>
      <c r="N355" s="75">
        <f>BACKUP!N485</f>
        <v>499737</v>
      </c>
      <c r="O355" s="75">
        <f>BACKUP!O485</f>
        <v>499743</v>
      </c>
      <c r="P355" s="75"/>
      <c r="Q355" s="63"/>
      <c r="R355" s="63"/>
      <c r="S355" s="63"/>
      <c r="T355" s="75"/>
      <c r="U355" s="75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</row>
    <row r="356" spans="1:47">
      <c r="A356" s="63"/>
      <c r="B356" s="63"/>
      <c r="C356" s="101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75"/>
      <c r="U356" s="75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</row>
    <row r="357" spans="1:47">
      <c r="A357" s="83" t="str">
        <f>BACKUP!A490</f>
        <v>Capitalization - Beg. Balance</v>
      </c>
      <c r="B357" s="63"/>
      <c r="C357" s="101"/>
      <c r="D357" s="75">
        <f>BACKUP!D490</f>
        <v>1087527</v>
      </c>
      <c r="E357" s="75">
        <f>BACKUP!E490</f>
        <v>1107628</v>
      </c>
      <c r="F357" s="75">
        <f>BACKUP!F490</f>
        <v>1126280</v>
      </c>
      <c r="G357" s="75">
        <f>BACKUP!G490</f>
        <v>1138649</v>
      </c>
      <c r="H357" s="75">
        <f>BACKUP!H490</f>
        <v>1141747</v>
      </c>
      <c r="I357" s="75">
        <f>BACKUP!I490</f>
        <v>1142736</v>
      </c>
      <c r="J357" s="75">
        <f>BACKUP!J490</f>
        <v>1145702</v>
      </c>
      <c r="K357" s="75">
        <f>BACKUP!K490</f>
        <v>1147250</v>
      </c>
      <c r="L357" s="75">
        <f>BACKUP!L490</f>
        <v>1149724</v>
      </c>
      <c r="M357" s="75">
        <f>BACKUP!M490</f>
        <v>1150370</v>
      </c>
      <c r="N357" s="75">
        <f>BACKUP!N490</f>
        <v>1149185</v>
      </c>
      <c r="O357" s="75">
        <f>BACKUP!O490</f>
        <v>1165536</v>
      </c>
      <c r="P357" s="63"/>
      <c r="Q357" s="63"/>
      <c r="R357" s="63"/>
      <c r="S357" s="63"/>
      <c r="T357" s="63"/>
      <c r="U357" s="75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</row>
    <row r="358" spans="1:47">
      <c r="A358" s="75" t="str">
        <f>BACKUP!A491</f>
        <v xml:space="preserve">   Net Income - w/o Asset Sales</v>
      </c>
      <c r="B358" s="63"/>
      <c r="C358" s="101"/>
      <c r="D358" s="75">
        <f>BACKUP!D491</f>
        <v>19635</v>
      </c>
      <c r="E358" s="75">
        <f>BACKUP!E491</f>
        <v>18785</v>
      </c>
      <c r="F358" s="75">
        <f>BACKUP!F491</f>
        <v>17694</v>
      </c>
      <c r="G358" s="75">
        <f>BACKUP!G491</f>
        <v>3083</v>
      </c>
      <c r="H358" s="75">
        <f>BACKUP!H491</f>
        <v>989</v>
      </c>
      <c r="I358" s="75">
        <f>BACKUP!I491</f>
        <v>2966</v>
      </c>
      <c r="J358" s="75">
        <f>BACKUP!J491</f>
        <v>1548</v>
      </c>
      <c r="K358" s="75">
        <f>BACKUP!K491</f>
        <v>2474</v>
      </c>
      <c r="L358" s="75">
        <f>BACKUP!L491</f>
        <v>646</v>
      </c>
      <c r="M358" s="75">
        <f>BACKUP!M491</f>
        <v>-1185</v>
      </c>
      <c r="N358" s="75">
        <f>BACKUP!N491</f>
        <v>16351</v>
      </c>
      <c r="O358" s="75">
        <f>BACKUP!O491</f>
        <v>16756</v>
      </c>
      <c r="P358" s="75">
        <f t="shared" ref="P358:P365" si="248">SUM(D358:O358)</f>
        <v>99742</v>
      </c>
      <c r="Q358" s="76">
        <f t="shared" ref="Q358:Q365" si="249">SUM(D358:J358)</f>
        <v>64700</v>
      </c>
      <c r="R358" s="75">
        <f t="shared" ref="R358:R365" si="250">P358-Q358</f>
        <v>35042</v>
      </c>
      <c r="S358" s="63"/>
      <c r="T358" s="63"/>
      <c r="U358" s="75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</row>
    <row r="359" spans="1:47">
      <c r="A359" s="75" t="str">
        <f>BACKUP!A492</f>
        <v xml:space="preserve">         - Net Gain / (Loss) on Asset Sales (External)</v>
      </c>
      <c r="B359" s="63"/>
      <c r="C359" s="101" t="s">
        <v>447</v>
      </c>
      <c r="D359" s="75">
        <f>BACKUP!D492</f>
        <v>0</v>
      </c>
      <c r="E359" s="75">
        <f>BACKUP!E492</f>
        <v>0</v>
      </c>
      <c r="F359" s="75">
        <f>BACKUP!F492</f>
        <v>0</v>
      </c>
      <c r="G359" s="75">
        <f>BACKUP!G492</f>
        <v>0</v>
      </c>
      <c r="H359" s="75">
        <f>BACKUP!H492</f>
        <v>0</v>
      </c>
      <c r="I359" s="75">
        <f>BACKUP!I492</f>
        <v>0</v>
      </c>
      <c r="J359" s="75">
        <f>BACKUP!J492</f>
        <v>0</v>
      </c>
      <c r="K359" s="75">
        <f>BACKUP!K492</f>
        <v>0</v>
      </c>
      <c r="L359" s="75">
        <f>BACKUP!L492</f>
        <v>0</v>
      </c>
      <c r="M359" s="75">
        <f>BACKUP!M492</f>
        <v>0</v>
      </c>
      <c r="N359" s="75">
        <f>BACKUP!N492</f>
        <v>0</v>
      </c>
      <c r="O359" s="75">
        <f>BACKUP!O492</f>
        <v>0</v>
      </c>
      <c r="P359" s="75">
        <f t="shared" si="248"/>
        <v>0</v>
      </c>
      <c r="Q359" s="76">
        <f t="shared" si="249"/>
        <v>0</v>
      </c>
      <c r="R359" s="75">
        <f t="shared" si="250"/>
        <v>0</v>
      </c>
      <c r="S359" s="63"/>
      <c r="T359" s="63"/>
      <c r="U359" s="75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</row>
    <row r="360" spans="1:47">
      <c r="A360" s="75" t="str">
        <f>BACKUP!A493</f>
        <v xml:space="preserve">         - Net Gain / (Loss) on Asset Sales (Assoc. Co.)</v>
      </c>
      <c r="B360" s="63"/>
      <c r="C360" s="101" t="s">
        <v>447</v>
      </c>
      <c r="D360" s="75">
        <f>BACKUP!D493</f>
        <v>0</v>
      </c>
      <c r="E360" s="75">
        <f>BACKUP!E493</f>
        <v>0</v>
      </c>
      <c r="F360" s="75">
        <f>BACKUP!F493</f>
        <v>0</v>
      </c>
      <c r="G360" s="75">
        <f>BACKUP!G493</f>
        <v>0</v>
      </c>
      <c r="H360" s="75">
        <f>BACKUP!H493</f>
        <v>0</v>
      </c>
      <c r="I360" s="75">
        <f>BACKUP!I493</f>
        <v>0</v>
      </c>
      <c r="J360" s="75">
        <f>BACKUP!J493</f>
        <v>0</v>
      </c>
      <c r="K360" s="75">
        <f>BACKUP!K493</f>
        <v>0</v>
      </c>
      <c r="L360" s="75">
        <f>BACKUP!L493</f>
        <v>0</v>
      </c>
      <c r="M360" s="75">
        <f>BACKUP!M493</f>
        <v>0</v>
      </c>
      <c r="N360" s="75">
        <f>BACKUP!N493</f>
        <v>0</v>
      </c>
      <c r="O360" s="75">
        <f>BACKUP!O493</f>
        <v>0</v>
      </c>
      <c r="P360" s="75">
        <f t="shared" si="248"/>
        <v>0</v>
      </c>
      <c r="Q360" s="76">
        <f t="shared" si="249"/>
        <v>0</v>
      </c>
      <c r="R360" s="75">
        <f t="shared" si="250"/>
        <v>0</v>
      </c>
      <c r="S360" s="63"/>
      <c r="T360" s="63"/>
      <c r="U360" s="75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</row>
    <row r="361" spans="1:47">
      <c r="A361" s="75" t="str">
        <f>BACKUP!A494</f>
        <v xml:space="preserve">   FASB 133 - Comprehensive Income / (Loss)</v>
      </c>
      <c r="B361" s="63"/>
      <c r="C361" s="101"/>
      <c r="D361" s="75">
        <f>BACKUP!D494</f>
        <v>466</v>
      </c>
      <c r="E361" s="75">
        <f>BACKUP!E494</f>
        <v>-133</v>
      </c>
      <c r="F361" s="75">
        <f>BACKUP!F494</f>
        <v>-348</v>
      </c>
      <c r="G361" s="75">
        <f>BACKUP!G494</f>
        <v>15</v>
      </c>
      <c r="H361" s="75">
        <f>BACKUP!H494</f>
        <v>0</v>
      </c>
      <c r="I361" s="75">
        <f>BACKUP!I494</f>
        <v>0</v>
      </c>
      <c r="J361" s="75">
        <f>BACKUP!J494</f>
        <v>0</v>
      </c>
      <c r="K361" s="75">
        <f>BACKUP!K494</f>
        <v>0</v>
      </c>
      <c r="L361" s="75">
        <f>BACKUP!L494</f>
        <v>0</v>
      </c>
      <c r="M361" s="75">
        <f>BACKUP!M494</f>
        <v>0</v>
      </c>
      <c r="N361" s="75">
        <f>BACKUP!N494</f>
        <v>0</v>
      </c>
      <c r="O361" s="75">
        <f>BACKUP!O494</f>
        <v>0</v>
      </c>
      <c r="P361" s="75">
        <f>SUM(D361:O361)</f>
        <v>0</v>
      </c>
      <c r="Q361" s="76">
        <f t="shared" si="249"/>
        <v>0</v>
      </c>
      <c r="R361" s="75">
        <f>P361-Q361</f>
        <v>0</v>
      </c>
      <c r="S361" s="63"/>
      <c r="T361" s="63"/>
      <c r="U361" s="75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</row>
    <row r="362" spans="1:47">
      <c r="A362" s="75" t="str">
        <f>BACKUP!A495</f>
        <v xml:space="preserve">                   - Other</v>
      </c>
      <c r="B362" s="63"/>
      <c r="C362" s="101" t="s">
        <v>444</v>
      </c>
      <c r="D362" s="75">
        <f>BACKUP!D495</f>
        <v>0</v>
      </c>
      <c r="E362" s="75">
        <f>BACKUP!E495</f>
        <v>0</v>
      </c>
      <c r="F362" s="75">
        <f>BACKUP!F495</f>
        <v>0</v>
      </c>
      <c r="G362" s="75">
        <f>BACKUP!G495</f>
        <v>0</v>
      </c>
      <c r="H362" s="75">
        <f>BACKUP!H495</f>
        <v>0</v>
      </c>
      <c r="I362" s="75">
        <f>BACKUP!I495</f>
        <v>0</v>
      </c>
      <c r="J362" s="75">
        <f>BACKUP!J495</f>
        <v>0</v>
      </c>
      <c r="K362" s="75">
        <f>BACKUP!K495</f>
        <v>0</v>
      </c>
      <c r="L362" s="75">
        <f>BACKUP!L495</f>
        <v>0</v>
      </c>
      <c r="M362" s="75">
        <f>BACKUP!M495</f>
        <v>0</v>
      </c>
      <c r="N362" s="75">
        <f>BACKUP!N495</f>
        <v>0</v>
      </c>
      <c r="O362" s="75">
        <f>BACKUP!O495</f>
        <v>0</v>
      </c>
      <c r="P362" s="75">
        <f>SUM(D362:O362)</f>
        <v>0</v>
      </c>
      <c r="Q362" s="76">
        <f t="shared" si="249"/>
        <v>0</v>
      </c>
      <c r="R362" s="75">
        <f>P362-Q362</f>
        <v>0</v>
      </c>
      <c r="S362" s="63"/>
      <c r="T362" s="63"/>
      <c r="U362" s="75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</row>
    <row r="363" spans="1:47">
      <c r="A363" s="75" t="str">
        <f>BACKUP!A496</f>
        <v xml:space="preserve">   Dividends to EPC, Trailblazer TPC1 (3/99)</v>
      </c>
      <c r="B363" s="63"/>
      <c r="C363" s="101"/>
      <c r="D363" s="75">
        <f>BACKUP!D496</f>
        <v>0</v>
      </c>
      <c r="E363" s="75">
        <f>BACKUP!E496</f>
        <v>0</v>
      </c>
      <c r="F363" s="75">
        <f>BACKUP!F496</f>
        <v>0</v>
      </c>
      <c r="G363" s="75">
        <f>BACKUP!G496</f>
        <v>0</v>
      </c>
      <c r="H363" s="75">
        <f>BACKUP!H496</f>
        <v>0</v>
      </c>
      <c r="I363" s="75">
        <f>BACKUP!I496</f>
        <v>0</v>
      </c>
      <c r="J363" s="75">
        <f>BACKUP!J496</f>
        <v>0</v>
      </c>
      <c r="K363" s="75">
        <f>BACKUP!K496</f>
        <v>0</v>
      </c>
      <c r="L363" s="75">
        <f>BACKUP!L496</f>
        <v>0</v>
      </c>
      <c r="M363" s="75">
        <f>BACKUP!M496</f>
        <v>0</v>
      </c>
      <c r="N363" s="75">
        <f>BACKUP!N496</f>
        <v>0</v>
      </c>
      <c r="O363" s="75">
        <f>BACKUP!O496</f>
        <v>0</v>
      </c>
      <c r="P363" s="75">
        <f t="shared" si="248"/>
        <v>0</v>
      </c>
      <c r="Q363" s="76">
        <f t="shared" si="249"/>
        <v>0</v>
      </c>
      <c r="R363" s="75">
        <f t="shared" si="250"/>
        <v>0</v>
      </c>
      <c r="S363" s="63"/>
      <c r="T363" s="63"/>
      <c r="U363" s="75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</row>
    <row r="364" spans="1:47">
      <c r="A364" s="75" t="str">
        <f>BACKUP!A497</f>
        <v xml:space="preserve">   Ardmore (3/95), Lucent (11/98, 2/99), Black Marlin (3/99)</v>
      </c>
      <c r="B364" s="63"/>
      <c r="C364" s="185" t="s">
        <v>455</v>
      </c>
      <c r="D364" s="75">
        <f>BACKUP!D497</f>
        <v>0</v>
      </c>
      <c r="E364" s="75">
        <f>BACKUP!E497</f>
        <v>0</v>
      </c>
      <c r="F364" s="75">
        <f>BACKUP!F497</f>
        <v>0</v>
      </c>
      <c r="G364" s="75">
        <f>BACKUP!G497</f>
        <v>0</v>
      </c>
      <c r="H364" s="75">
        <f>BACKUP!H497</f>
        <v>0</v>
      </c>
      <c r="I364" s="75">
        <f>BACKUP!I497</f>
        <v>0</v>
      </c>
      <c r="J364" s="75">
        <f>BACKUP!J497</f>
        <v>0</v>
      </c>
      <c r="K364" s="75">
        <f>BACKUP!K497</f>
        <v>0</v>
      </c>
      <c r="L364" s="75">
        <f>BACKUP!L497</f>
        <v>0</v>
      </c>
      <c r="M364" s="75">
        <f>BACKUP!M497</f>
        <v>0</v>
      </c>
      <c r="N364" s="75">
        <f>BACKUP!N497</f>
        <v>0</v>
      </c>
      <c r="O364" s="75">
        <f>BACKUP!O497</f>
        <v>0</v>
      </c>
      <c r="P364" s="75">
        <f t="shared" si="248"/>
        <v>0</v>
      </c>
      <c r="Q364" s="76">
        <f t="shared" si="249"/>
        <v>0</v>
      </c>
      <c r="R364" s="75">
        <f t="shared" si="250"/>
        <v>0</v>
      </c>
      <c r="S364" s="63"/>
      <c r="T364" s="63"/>
      <c r="U364" s="75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</row>
    <row r="365" spans="1:47">
      <c r="A365" s="75" t="str">
        <f>BACKUP!A498</f>
        <v xml:space="preserve">   Act. / Est. Adjustment (Remove Overthrust 3/01)</v>
      </c>
      <c r="B365" s="63"/>
      <c r="C365" s="101"/>
      <c r="D365" s="80">
        <f>BACKUP!D498</f>
        <v>0</v>
      </c>
      <c r="E365" s="80">
        <f>BACKUP!E498</f>
        <v>0</v>
      </c>
      <c r="F365" s="80">
        <f>BACKUP!F498</f>
        <v>-4977</v>
      </c>
      <c r="G365" s="80">
        <f>BACKUP!G498</f>
        <v>0</v>
      </c>
      <c r="H365" s="80">
        <f>BACKUP!H498</f>
        <v>0</v>
      </c>
      <c r="I365" s="80">
        <f>BACKUP!I498</f>
        <v>0</v>
      </c>
      <c r="J365" s="80">
        <f>BACKUP!J498</f>
        <v>0</v>
      </c>
      <c r="K365" s="80">
        <f>BACKUP!K498</f>
        <v>0</v>
      </c>
      <c r="L365" s="80">
        <f>BACKUP!L498</f>
        <v>0</v>
      </c>
      <c r="M365" s="80">
        <f>BACKUP!M498</f>
        <v>0</v>
      </c>
      <c r="N365" s="80">
        <f>BACKUP!N498</f>
        <v>0</v>
      </c>
      <c r="O365" s="80">
        <f>BACKUP!O498</f>
        <v>0</v>
      </c>
      <c r="P365" s="75">
        <f t="shared" si="248"/>
        <v>-4977</v>
      </c>
      <c r="Q365" s="76">
        <f t="shared" si="249"/>
        <v>-4977</v>
      </c>
      <c r="R365" s="75">
        <f t="shared" si="250"/>
        <v>0</v>
      </c>
      <c r="S365" s="63"/>
      <c r="T365" s="63"/>
      <c r="U365" s="75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</row>
    <row r="366" spans="1:47" ht="3.95" customHeight="1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75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</row>
    <row r="367" spans="1:47">
      <c r="A367" s="83" t="str">
        <f>BACKUP!A500</f>
        <v>Capitalization - End. Balance</v>
      </c>
      <c r="B367" s="63"/>
      <c r="C367" s="63"/>
      <c r="D367" s="80">
        <f>BACKUP!D500</f>
        <v>1107628</v>
      </c>
      <c r="E367" s="80">
        <f>BACKUP!E500</f>
        <v>1126280</v>
      </c>
      <c r="F367" s="80">
        <f>BACKUP!F500</f>
        <v>1138649</v>
      </c>
      <c r="G367" s="80">
        <f>BACKUP!G500</f>
        <v>1141747</v>
      </c>
      <c r="H367" s="80">
        <f>BACKUP!H500</f>
        <v>1142736</v>
      </c>
      <c r="I367" s="80">
        <f>BACKUP!I500</f>
        <v>1145702</v>
      </c>
      <c r="J367" s="80">
        <f>BACKUP!J500</f>
        <v>1147250</v>
      </c>
      <c r="K367" s="80">
        <f>BACKUP!K500</f>
        <v>1149724</v>
      </c>
      <c r="L367" s="80">
        <f>BACKUP!L500</f>
        <v>1150370</v>
      </c>
      <c r="M367" s="80">
        <f>BACKUP!M500</f>
        <v>1149185</v>
      </c>
      <c r="N367" s="80">
        <f>BACKUP!N500</f>
        <v>1165536</v>
      </c>
      <c r="O367" s="80">
        <f>BACKUP!O500</f>
        <v>1182292</v>
      </c>
      <c r="P367" s="63"/>
      <c r="Q367" s="63"/>
      <c r="R367" s="63"/>
      <c r="S367" s="63"/>
      <c r="T367" s="63"/>
      <c r="U367" s="75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</row>
    <row r="368" spans="1:47" ht="8.1" customHeight="1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75"/>
      <c r="U368" s="75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</row>
    <row r="369" spans="1:47">
      <c r="A369" s="84" t="s">
        <v>456</v>
      </c>
      <c r="B369" s="84" t="s">
        <v>456</v>
      </c>
      <c r="C369" s="84" t="s">
        <v>456</v>
      </c>
      <c r="D369" s="84" t="s">
        <v>456</v>
      </c>
      <c r="E369" s="84" t="s">
        <v>456</v>
      </c>
      <c r="F369" s="84" t="s">
        <v>456</v>
      </c>
      <c r="G369" s="84" t="s">
        <v>456</v>
      </c>
      <c r="H369" s="84" t="s">
        <v>456</v>
      </c>
      <c r="I369" s="84" t="s">
        <v>456</v>
      </c>
      <c r="J369" s="84" t="s">
        <v>456</v>
      </c>
      <c r="K369" s="84" t="s">
        <v>456</v>
      </c>
      <c r="L369" s="84" t="s">
        <v>456</v>
      </c>
      <c r="M369" s="84" t="s">
        <v>456</v>
      </c>
      <c r="N369" s="84" t="s">
        <v>456</v>
      </c>
      <c r="O369" s="84" t="s">
        <v>456</v>
      </c>
      <c r="P369" s="84" t="s">
        <v>456</v>
      </c>
      <c r="Q369" s="63"/>
      <c r="R369" s="63"/>
      <c r="S369" s="63"/>
      <c r="T369" s="75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</row>
    <row r="370" spans="1:47">
      <c r="A370" s="64" t="str">
        <f ca="1">A1</f>
        <v>C:\Users\Felienne\Enron\EnronSpreadsheets\[tracy_geaccone__40393__NNG3rdCECF.xls]BACKUP</v>
      </c>
      <c r="B370" s="60"/>
      <c r="C370" s="60" t="str">
        <f>I1</f>
        <v>NORTHERN NATURAL GAS GROUP</v>
      </c>
      <c r="D370" s="60"/>
      <c r="E370" s="60"/>
      <c r="F370" s="60"/>
      <c r="G370" s="60"/>
      <c r="H370" s="60"/>
      <c r="I370" s="60"/>
      <c r="J370" s="60"/>
      <c r="K370" s="63"/>
      <c r="L370" s="63"/>
      <c r="M370" s="85">
        <f ca="1">NOW()</f>
        <v>41887.551206018521</v>
      </c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</row>
    <row r="371" spans="1:47">
      <c r="A371" s="66" t="s">
        <v>457</v>
      </c>
      <c r="B371" s="60"/>
      <c r="C371" s="60" t="str">
        <f>I2</f>
        <v>CASH FLOW STATEMENT</v>
      </c>
      <c r="D371" s="60"/>
      <c r="E371" s="60"/>
      <c r="F371" s="60"/>
      <c r="G371" s="60"/>
      <c r="H371" s="60"/>
      <c r="I371" s="60"/>
      <c r="J371" s="60"/>
      <c r="K371" s="63"/>
      <c r="L371" s="63"/>
      <c r="M371" s="86">
        <f ca="1">NOW()</f>
        <v>41887.551206018521</v>
      </c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</row>
    <row r="372" spans="1:47">
      <c r="A372" s="60"/>
      <c r="B372" s="60"/>
      <c r="C372" s="60" t="str">
        <f>I3</f>
        <v>2001 ACTUAL / ESTIMATE</v>
      </c>
      <c r="D372" s="60"/>
      <c r="E372" s="60"/>
      <c r="F372" s="60"/>
      <c r="G372" s="60"/>
      <c r="H372" s="60"/>
      <c r="I372" s="60"/>
      <c r="J372" s="60"/>
      <c r="K372" s="60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</row>
    <row r="373" spans="1:47">
      <c r="A373" s="60"/>
      <c r="B373" s="60"/>
      <c r="C373" s="60" t="str">
        <f>I4</f>
        <v>(Thousands of Dollars)</v>
      </c>
      <c r="D373" s="60"/>
      <c r="E373" s="60"/>
      <c r="F373" s="60"/>
      <c r="G373" s="60"/>
      <c r="H373" s="60"/>
      <c r="I373" s="60"/>
      <c r="J373" s="60"/>
      <c r="K373" s="60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</row>
    <row r="374" spans="1:47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</row>
    <row r="375" spans="1:47">
      <c r="A375" s="60"/>
      <c r="B375" s="60"/>
      <c r="C375" s="60"/>
      <c r="D375" s="60"/>
      <c r="E375" s="60"/>
      <c r="F375" s="60"/>
      <c r="G375" s="60"/>
      <c r="H375" s="60"/>
      <c r="I375" s="72" t="s">
        <v>458</v>
      </c>
      <c r="J375" s="72"/>
      <c r="K375" s="72"/>
      <c r="L375" s="63"/>
      <c r="M375" s="71" t="s">
        <v>459</v>
      </c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</row>
    <row r="376" spans="1:47" ht="12.95" customHeight="1">
      <c r="A376" s="60"/>
      <c r="B376" s="60"/>
      <c r="C376" s="60"/>
      <c r="D376" s="60"/>
      <c r="E376" s="60"/>
      <c r="F376" s="60"/>
      <c r="G376" s="60"/>
      <c r="H376" s="60"/>
      <c r="I376" s="73" t="s">
        <v>460</v>
      </c>
      <c r="J376" s="60"/>
      <c r="K376" s="73" t="s">
        <v>461</v>
      </c>
      <c r="L376" s="63"/>
      <c r="M376" s="73" t="s">
        <v>462</v>
      </c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</row>
    <row r="377" spans="1:47" ht="3.9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</row>
    <row r="378" spans="1:47">
      <c r="A378" s="61" t="s">
        <v>463</v>
      </c>
      <c r="B378" s="63"/>
      <c r="C378" s="63"/>
      <c r="D378" s="63"/>
      <c r="E378" s="63"/>
      <c r="F378" s="63"/>
      <c r="G378" s="63"/>
      <c r="H378" s="63"/>
      <c r="I378" s="87">
        <f>T47</f>
        <v>38700</v>
      </c>
      <c r="J378" s="63"/>
      <c r="K378" s="87" t="e">
        <f>#REF!</f>
        <v>#REF!</v>
      </c>
      <c r="L378" s="63"/>
      <c r="M378" s="87">
        <f>T57</f>
        <v>38700</v>
      </c>
      <c r="N378" s="63"/>
      <c r="O378" s="63"/>
      <c r="P378" s="63"/>
      <c r="Q378" s="63"/>
      <c r="R378" s="63"/>
      <c r="S378" s="63"/>
      <c r="T378" s="75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</row>
    <row r="379" spans="1:47" ht="3.95" customHeight="1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</row>
    <row r="380" spans="1:47">
      <c r="A380" s="77" t="s">
        <v>464</v>
      </c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</row>
    <row r="381" spans="1:47">
      <c r="A381" s="63" t="str">
        <f>A9</f>
        <v xml:space="preserve">   Net Income </v>
      </c>
      <c r="B381" s="63"/>
      <c r="C381" s="63"/>
      <c r="D381" s="63"/>
      <c r="E381" s="63"/>
      <c r="F381" s="63"/>
      <c r="G381" s="75">
        <f>AK9</f>
        <v>-1583</v>
      </c>
      <c r="H381" s="63"/>
      <c r="I381" s="88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75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</row>
    <row r="382" spans="1:47">
      <c r="A382" s="63" t="str">
        <f>A11</f>
        <v xml:space="preserve">      Depreciation and Amortization</v>
      </c>
      <c r="B382" s="63"/>
      <c r="C382" s="63"/>
      <c r="D382" s="63"/>
      <c r="E382" s="63"/>
      <c r="F382" s="63"/>
      <c r="G382" s="75">
        <f>AK11</f>
        <v>-1685</v>
      </c>
      <c r="H382" s="63"/>
      <c r="I382" s="88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75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</row>
    <row r="383" spans="1:47">
      <c r="A383" s="63" t="str">
        <f>A12</f>
        <v xml:space="preserve">      Regulatory Amortization - TCR</v>
      </c>
      <c r="B383" s="88"/>
      <c r="C383" s="88"/>
      <c r="D383" s="63"/>
      <c r="E383" s="88"/>
      <c r="F383" s="63"/>
      <c r="G383" s="75">
        <f>AK12</f>
        <v>0</v>
      </c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</row>
    <row r="384" spans="1:47">
      <c r="A384" s="63" t="e">
        <f>#REF!</f>
        <v>#REF!</v>
      </c>
      <c r="B384" s="63"/>
      <c r="C384" s="63"/>
      <c r="D384" s="63"/>
      <c r="E384" s="63"/>
      <c r="F384" s="63"/>
      <c r="G384" s="75" t="e">
        <f>#REF!</f>
        <v>#REF!</v>
      </c>
      <c r="H384" s="63"/>
      <c r="I384" s="88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75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</row>
    <row r="385" spans="1:47">
      <c r="A385" s="63" t="str">
        <f>A13</f>
        <v xml:space="preserve">      Deferred Income Taxes - Both Current and Noncurrent </v>
      </c>
      <c r="B385" s="63"/>
      <c r="C385" s="63"/>
      <c r="D385" s="63"/>
      <c r="E385" s="63"/>
      <c r="F385" s="63"/>
      <c r="G385" s="75">
        <f>AK13</f>
        <v>11009</v>
      </c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</row>
    <row r="386" spans="1:47">
      <c r="A386" s="63" t="e">
        <f>#REF!</f>
        <v>#REF!</v>
      </c>
      <c r="B386" s="63"/>
      <c r="C386" s="63"/>
      <c r="D386" s="63"/>
      <c r="E386" s="63"/>
      <c r="F386" s="63"/>
      <c r="G386" s="75" t="e">
        <f>#REF!</f>
        <v>#REF!</v>
      </c>
      <c r="H386" s="63"/>
      <c r="I386" s="75" t="e">
        <f>SUM(G381:G386)</f>
        <v>#REF!</v>
      </c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</row>
    <row r="387" spans="1:47" ht="3.95" customHeight="1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</row>
    <row r="388" spans="1:47">
      <c r="A388" s="77" t="s">
        <v>465</v>
      </c>
      <c r="B388" s="63"/>
      <c r="C388" s="63"/>
      <c r="D388" s="63"/>
      <c r="E388" s="63"/>
      <c r="F388" s="63"/>
      <c r="G388" s="75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</row>
    <row r="389" spans="1:47">
      <c r="A389" s="63" t="str">
        <f>A16</f>
        <v xml:space="preserve">      Accounts and Notes Receivable - Trade Only (6/01 Forward)</v>
      </c>
      <c r="B389" s="88"/>
      <c r="C389" s="88"/>
      <c r="D389" s="63"/>
      <c r="E389" s="63"/>
      <c r="F389" s="63"/>
      <c r="G389" s="75">
        <f>AK16</f>
        <v>-17616</v>
      </c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</row>
    <row r="390" spans="1:47">
      <c r="A390" s="63" t="str">
        <f>A17</f>
        <v xml:space="preserve">      Inventories</v>
      </c>
      <c r="B390" s="88"/>
      <c r="C390" s="88"/>
      <c r="D390" s="63"/>
      <c r="E390" s="63"/>
      <c r="F390" s="63"/>
      <c r="G390" s="75">
        <f>AK17</f>
        <v>1492</v>
      </c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</row>
    <row r="391" spans="1:47">
      <c r="A391" s="63" t="str">
        <f>A18</f>
        <v xml:space="preserve">      Accounts Payable - Trade Only (6/01 Forward)</v>
      </c>
      <c r="B391" s="88"/>
      <c r="C391" s="88"/>
      <c r="D391" s="63"/>
      <c r="E391" s="63"/>
      <c r="F391" s="63"/>
      <c r="G391" s="75">
        <f>AK18</f>
        <v>-18378</v>
      </c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</row>
    <row r="392" spans="1:47">
      <c r="A392" s="63" t="str">
        <f>A20</f>
        <v xml:space="preserve">      Over / (Under) Recovered Gas Cost</v>
      </c>
      <c r="B392" s="88"/>
      <c r="C392" s="88"/>
      <c r="D392" s="63"/>
      <c r="E392" s="63"/>
      <c r="F392" s="63"/>
      <c r="G392" s="75">
        <f>AK20</f>
        <v>0</v>
      </c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</row>
    <row r="393" spans="1:47">
      <c r="A393" s="63" t="str">
        <f>A21</f>
        <v xml:space="preserve">      Exchange Gas - Receivable</v>
      </c>
      <c r="B393" s="88"/>
      <c r="C393" s="88"/>
      <c r="D393" s="63"/>
      <c r="E393" s="63"/>
      <c r="F393" s="63"/>
      <c r="G393" s="75">
        <f>AK21</f>
        <v>38550</v>
      </c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</row>
    <row r="394" spans="1:47">
      <c r="A394" s="63" t="str">
        <f>A23</f>
        <v xml:space="preserve">      Prepayments</v>
      </c>
      <c r="B394" s="88"/>
      <c r="C394" s="88"/>
      <c r="D394" s="63"/>
      <c r="E394" s="63"/>
      <c r="F394" s="63"/>
      <c r="G394" s="75">
        <f>AK23</f>
        <v>-1242</v>
      </c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</row>
    <row r="395" spans="1:47">
      <c r="A395" s="63" t="e">
        <f>#REF!</f>
        <v>#REF!</v>
      </c>
      <c r="B395" s="88"/>
      <c r="C395" s="88"/>
      <c r="D395" s="63"/>
      <c r="E395" s="63"/>
      <c r="F395" s="63"/>
      <c r="G395" s="75" t="e">
        <f>#REF!</f>
        <v>#REF!</v>
      </c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</row>
    <row r="396" spans="1:47">
      <c r="A396" s="63" t="str">
        <f>A24</f>
        <v xml:space="preserve">      Accrued Interest - Third Party</v>
      </c>
      <c r="B396" s="88"/>
      <c r="C396" s="88"/>
      <c r="D396" s="63"/>
      <c r="E396" s="63"/>
      <c r="F396" s="63"/>
      <c r="G396" s="75">
        <f>AK24</f>
        <v>0</v>
      </c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</row>
    <row r="397" spans="1:47">
      <c r="A397" s="63" t="str">
        <f>A25</f>
        <v xml:space="preserve">      Accrued Taxes, other than income</v>
      </c>
      <c r="B397" s="88"/>
      <c r="C397" s="88"/>
      <c r="D397" s="63"/>
      <c r="E397" s="63"/>
      <c r="F397" s="63"/>
      <c r="G397" s="75">
        <f>AK25</f>
        <v>1145</v>
      </c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</row>
    <row r="398" spans="1:47">
      <c r="A398" s="63" t="str">
        <f>A26</f>
        <v xml:space="preserve">      Other Current Assets or Liabilities (W/O Reserve Activity)</v>
      </c>
      <c r="B398" s="88"/>
      <c r="C398" s="88"/>
      <c r="D398" s="63"/>
      <c r="E398" s="63"/>
      <c r="F398" s="63"/>
      <c r="G398" s="75">
        <f>AK26</f>
        <v>-9434</v>
      </c>
      <c r="H398" s="63"/>
      <c r="I398" s="75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</row>
    <row r="399" spans="1:47" ht="6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</row>
    <row r="400" spans="1:47">
      <c r="A400" s="63" t="str">
        <f>A28</f>
        <v xml:space="preserve">   Deferred Severance / Relocation Charges</v>
      </c>
      <c r="B400" s="63"/>
      <c r="C400" s="63"/>
      <c r="D400" s="63"/>
      <c r="E400" s="63"/>
      <c r="F400" s="63"/>
      <c r="G400" s="75">
        <f>AK28</f>
        <v>0</v>
      </c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</row>
    <row r="401" spans="1:47">
      <c r="A401" s="63" t="e">
        <f>#REF!</f>
        <v>#REF!</v>
      </c>
      <c r="B401" s="63"/>
      <c r="C401" s="63"/>
      <c r="D401" s="63"/>
      <c r="E401" s="63"/>
      <c r="F401" s="63"/>
      <c r="G401" s="75" t="e">
        <f>#REF!</f>
        <v>#REF!</v>
      </c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</row>
    <row r="402" spans="1:47">
      <c r="A402" s="63" t="e">
        <f>#REF!</f>
        <v>#REF!</v>
      </c>
      <c r="B402" s="63"/>
      <c r="C402" s="63"/>
      <c r="D402" s="63"/>
      <c r="E402" s="63"/>
      <c r="F402" s="63"/>
      <c r="G402" s="75" t="e">
        <f>#REF!</f>
        <v>#REF!</v>
      </c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</row>
    <row r="403" spans="1:47">
      <c r="A403" s="63" t="str">
        <f>A30</f>
        <v xml:space="preserve">   Equity Earnings</v>
      </c>
      <c r="B403" s="63"/>
      <c r="C403" s="63"/>
      <c r="D403" s="63"/>
      <c r="E403" s="63"/>
      <c r="F403" s="63"/>
      <c r="G403" s="75">
        <f>AK30</f>
        <v>-1124</v>
      </c>
      <c r="H403" s="63"/>
      <c r="I403" s="88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</row>
    <row r="404" spans="1:47">
      <c r="A404" s="63" t="str">
        <f>A31</f>
        <v xml:space="preserve">   Equity / Partner. Distributions / Overthrust Sale (Book Basis)</v>
      </c>
      <c r="B404" s="63"/>
      <c r="C404" s="63"/>
      <c r="D404" s="63"/>
      <c r="E404" s="63"/>
      <c r="F404" s="63"/>
      <c r="G404" s="75">
        <f>AK31</f>
        <v>5000</v>
      </c>
      <c r="H404" s="63"/>
      <c r="I404" s="88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</row>
    <row r="405" spans="1:47">
      <c r="A405" s="63" t="str">
        <f>A32</f>
        <v xml:space="preserve">   Net (Gain) / Loss on Sale of Assets</v>
      </c>
      <c r="B405" s="63"/>
      <c r="C405" s="63"/>
      <c r="D405" s="63"/>
      <c r="E405" s="63"/>
      <c r="F405" s="63"/>
      <c r="G405" s="75">
        <f>AK32</f>
        <v>7047</v>
      </c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</row>
    <row r="406" spans="1:47">
      <c r="A406" s="63" t="str">
        <f>A33</f>
        <v xml:space="preserve">   Other Regulatory Assets / Liabilities</v>
      </c>
      <c r="B406" s="63"/>
      <c r="C406" s="63"/>
      <c r="D406" s="63"/>
      <c r="E406" s="63"/>
      <c r="F406" s="63"/>
      <c r="G406" s="75">
        <f>AK33</f>
        <v>2450</v>
      </c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</row>
    <row r="407" spans="1:47">
      <c r="A407" s="77" t="s">
        <v>466</v>
      </c>
      <c r="B407" s="63"/>
      <c r="C407" s="63"/>
      <c r="D407" s="63"/>
      <c r="E407" s="76">
        <v>0</v>
      </c>
      <c r="F407" s="63"/>
      <c r="G407" s="75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</row>
    <row r="408" spans="1:47">
      <c r="A408" s="77" t="s">
        <v>467</v>
      </c>
      <c r="B408" s="63"/>
      <c r="C408" s="63"/>
      <c r="D408" s="63"/>
      <c r="E408" s="75">
        <f>-P312-P313-P315+T312+T313+T315</f>
        <v>0</v>
      </c>
      <c r="F408" s="63"/>
      <c r="G408" s="75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</row>
    <row r="409" spans="1:47">
      <c r="A409" s="77" t="s">
        <v>466</v>
      </c>
      <c r="B409" s="63"/>
      <c r="C409" s="63"/>
      <c r="D409" s="63"/>
      <c r="E409" s="76">
        <v>0</v>
      </c>
      <c r="F409" s="63"/>
      <c r="G409" s="75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</row>
    <row r="410" spans="1:47">
      <c r="A410" s="77" t="s">
        <v>468</v>
      </c>
      <c r="B410" s="63"/>
      <c r="C410" s="63"/>
      <c r="D410" s="63"/>
      <c r="E410" s="75">
        <f>-P308+T308</f>
        <v>0</v>
      </c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</row>
    <row r="411" spans="1:47">
      <c r="A411" s="77" t="s">
        <v>469</v>
      </c>
      <c r="B411" s="63"/>
      <c r="C411" s="63"/>
      <c r="D411" s="63"/>
      <c r="E411" s="75">
        <f>-P318+T318</f>
        <v>0</v>
      </c>
      <c r="F411" s="63"/>
      <c r="G411" s="75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</row>
    <row r="412" spans="1:47">
      <c r="A412" s="77" t="s">
        <v>470</v>
      </c>
      <c r="B412" s="63"/>
      <c r="C412" s="63"/>
      <c r="D412" s="63"/>
      <c r="E412" s="75" t="e">
        <f>#REF!-#REF!</f>
        <v>#REF!</v>
      </c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</row>
    <row r="413" spans="1:47">
      <c r="A413" s="77" t="s">
        <v>471</v>
      </c>
      <c r="B413" s="63"/>
      <c r="C413" s="63"/>
      <c r="D413" s="63"/>
      <c r="E413" s="75" t="e">
        <f>G413-SUM(E407:E412)</f>
        <v>#REF!</v>
      </c>
      <c r="F413" s="63"/>
      <c r="G413" s="80">
        <f>AK34</f>
        <v>1192</v>
      </c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</row>
    <row r="414" spans="1:47">
      <c r="A414" s="77" t="s">
        <v>472</v>
      </c>
      <c r="B414" s="63"/>
      <c r="C414" s="63"/>
      <c r="D414" s="63"/>
      <c r="E414" s="63"/>
      <c r="F414" s="63"/>
      <c r="G414" s="63"/>
      <c r="H414" s="63"/>
      <c r="I414" s="75" t="e">
        <f>SUM(G386:G414)</f>
        <v>#REF!</v>
      </c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</row>
    <row r="415" spans="1:47" ht="3.95" customHeight="1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</row>
    <row r="416" spans="1:47">
      <c r="A416" s="63" t="str">
        <f>A38</f>
        <v>CASH FLOW FROM INVESTING ACTIVITIES</v>
      </c>
      <c r="B416" s="63"/>
      <c r="C416" s="63"/>
      <c r="D416" s="63"/>
      <c r="E416" s="63"/>
      <c r="F416" s="63"/>
      <c r="G416" s="75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</row>
    <row r="417" spans="1:47">
      <c r="A417" s="63" t="str">
        <f>A39</f>
        <v xml:space="preserve">   Proceeds from Sale (Various)</v>
      </c>
      <c r="B417" s="63"/>
      <c r="C417" s="63"/>
      <c r="D417" s="63"/>
      <c r="E417" s="63"/>
      <c r="F417" s="63"/>
      <c r="G417" s="75">
        <f>AK39</f>
        <v>-1847</v>
      </c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</row>
    <row r="418" spans="1:47">
      <c r="A418" s="63" t="str">
        <f>A40</f>
        <v xml:space="preserve">   Additions to Property </v>
      </c>
      <c r="B418" s="63"/>
      <c r="C418" s="63"/>
      <c r="D418" s="63"/>
      <c r="E418" s="63"/>
      <c r="F418" s="63"/>
      <c r="G418" s="75">
        <f>AK40</f>
        <v>9400</v>
      </c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</row>
    <row r="419" spans="1:47">
      <c r="A419" s="63" t="str">
        <f>A41</f>
        <v xml:space="preserve">   Other Capital Expenditures</v>
      </c>
      <c r="B419" s="88"/>
      <c r="C419" s="88"/>
      <c r="D419" s="63"/>
      <c r="E419" s="63"/>
      <c r="F419" s="63"/>
      <c r="G419" s="75">
        <f>AK41</f>
        <v>-12963</v>
      </c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</row>
    <row r="420" spans="1:47">
      <c r="A420" s="63" t="str">
        <f>A42</f>
        <v xml:space="preserve">   Other Investments (McDay Energy / Misc.)</v>
      </c>
      <c r="B420" s="88"/>
      <c r="C420" s="88"/>
      <c r="D420" s="63"/>
      <c r="E420" s="63"/>
      <c r="F420" s="63"/>
      <c r="G420" s="80">
        <f>AK42</f>
        <v>0</v>
      </c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</row>
    <row r="421" spans="1:47">
      <c r="A421" s="63" t="str">
        <f>A45</f>
        <v xml:space="preserve">      Cash Provided by (Used in) Investing Activities</v>
      </c>
      <c r="B421" s="88"/>
      <c r="C421" s="88"/>
      <c r="D421" s="63"/>
      <c r="E421" s="88"/>
      <c r="F421" s="63"/>
      <c r="G421" s="63"/>
      <c r="H421" s="63"/>
      <c r="I421" s="80">
        <f>SUM(G416:G421)</f>
        <v>-5410</v>
      </c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</row>
    <row r="422" spans="1:47" ht="3.95" customHeight="1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</row>
    <row r="423" spans="1:47">
      <c r="A423" s="60" t="str">
        <f>A47</f>
        <v xml:space="preserve">            Net Cash Flow Before Corporate Adjustments</v>
      </c>
      <c r="B423" s="63"/>
      <c r="C423" s="63"/>
      <c r="D423" s="75">
        <f>P47</f>
        <v>32481</v>
      </c>
      <c r="E423" s="63"/>
      <c r="F423" s="63"/>
      <c r="G423" s="63"/>
      <c r="H423" s="63"/>
      <c r="I423" s="87" t="e">
        <f>SUM(I378:I422)</f>
        <v>#REF!</v>
      </c>
      <c r="J423" s="63"/>
      <c r="K423" s="75" t="e">
        <f>I423-I378</f>
        <v>#REF!</v>
      </c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</row>
    <row r="424" spans="1:47" ht="3.95" customHeight="1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</row>
    <row r="425" spans="1:47">
      <c r="A425" s="63" t="e">
        <f>#REF!</f>
        <v>#REF!</v>
      </c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</row>
    <row r="426" spans="1:47">
      <c r="A426" s="63" t="e">
        <f>#REF!</f>
        <v>#REF!</v>
      </c>
      <c r="B426" s="88"/>
      <c r="C426" s="88"/>
      <c r="D426" s="63"/>
      <c r="E426" s="63"/>
      <c r="F426" s="63"/>
      <c r="G426" s="75" t="e">
        <f>#REF!</f>
        <v>#REF!</v>
      </c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</row>
    <row r="427" spans="1:47">
      <c r="A427" s="63" t="e">
        <f>#REF!</f>
        <v>#REF!</v>
      </c>
      <c r="B427" s="63"/>
      <c r="C427" s="63"/>
      <c r="D427" s="63"/>
      <c r="E427" s="63"/>
      <c r="F427" s="63"/>
      <c r="G427" s="75" t="e">
        <f>#REF!</f>
        <v>#REF!</v>
      </c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</row>
    <row r="428" spans="1:47">
      <c r="A428" s="63" t="str">
        <f>A19</f>
        <v xml:space="preserve">                    - Other</v>
      </c>
      <c r="B428" s="88"/>
      <c r="C428" s="88"/>
      <c r="D428" s="63"/>
      <c r="E428" s="63"/>
      <c r="F428" s="63"/>
      <c r="G428" s="80">
        <f>AK19</f>
        <v>6841</v>
      </c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</row>
    <row r="429" spans="1:47">
      <c r="A429" s="63" t="e">
        <f>#REF!</f>
        <v>#REF!</v>
      </c>
      <c r="B429" s="63"/>
      <c r="C429" s="63"/>
      <c r="D429" s="63"/>
      <c r="E429" s="63"/>
      <c r="F429" s="63"/>
      <c r="G429" s="63"/>
      <c r="H429" s="63"/>
      <c r="I429" s="63"/>
      <c r="J429" s="63"/>
      <c r="K429" s="80" t="e">
        <f>SUM(G426:G428)</f>
        <v>#REF!</v>
      </c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</row>
    <row r="430" spans="1:47" ht="3.95" customHeight="1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</row>
    <row r="431" spans="1:47">
      <c r="A431" s="60" t="e">
        <f>#REF!</f>
        <v>#REF!</v>
      </c>
      <c r="B431" s="63"/>
      <c r="C431" s="63"/>
      <c r="D431" s="75" t="e">
        <f>#REF!</f>
        <v>#REF!</v>
      </c>
      <c r="E431" s="63"/>
      <c r="F431" s="63"/>
      <c r="G431" s="63"/>
      <c r="H431" s="63"/>
      <c r="I431" s="63"/>
      <c r="J431" s="63"/>
      <c r="K431" s="87" t="e">
        <f>SUM(K378:K429)</f>
        <v>#REF!</v>
      </c>
      <c r="L431" s="63"/>
      <c r="M431" s="75" t="e">
        <f>K431-K378</f>
        <v>#REF!</v>
      </c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</row>
    <row r="432" spans="1:47" ht="3.95" customHeight="1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</row>
    <row r="433" spans="1:47">
      <c r="A433" s="63" t="str">
        <f>A49</f>
        <v>OTHER ITEMS AFFECTING INTERCO. (CORP.) BALANCE</v>
      </c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</row>
    <row r="434" spans="1:47">
      <c r="A434" s="63" t="str">
        <f>A50</f>
        <v xml:space="preserve">   Dividends Transferred to EPC </v>
      </c>
      <c r="B434" s="88"/>
      <c r="C434" s="88"/>
      <c r="D434" s="63"/>
      <c r="E434" s="63"/>
      <c r="F434" s="63"/>
      <c r="G434" s="75">
        <f>AK50</f>
        <v>0</v>
      </c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</row>
    <row r="435" spans="1:47">
      <c r="A435" s="63" t="str">
        <f>A51</f>
        <v xml:space="preserve">   Inc. / (Dec.) in Long-Term Debt  (External)</v>
      </c>
      <c r="B435" s="88"/>
      <c r="C435" s="88"/>
      <c r="D435" s="63"/>
      <c r="E435" s="63"/>
      <c r="F435" s="63"/>
      <c r="G435" s="75">
        <f>AK51</f>
        <v>0</v>
      </c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</row>
    <row r="436" spans="1:47">
      <c r="A436" s="63" t="str">
        <f>A52</f>
        <v xml:space="preserve">   Inc. / (Dec.) in Long-Term Debt Discount </v>
      </c>
      <c r="B436" s="63"/>
      <c r="C436" s="63"/>
      <c r="D436" s="63"/>
      <c r="E436" s="63"/>
      <c r="F436" s="63"/>
      <c r="G436" s="75">
        <f>AK52</f>
        <v>0</v>
      </c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</row>
    <row r="437" spans="1:47">
      <c r="A437" s="63" t="str">
        <f>A53</f>
        <v xml:space="preserve">   Contribution from Parent </v>
      </c>
      <c r="B437" s="63"/>
      <c r="C437" s="63"/>
      <c r="D437" s="63"/>
      <c r="E437" s="63"/>
      <c r="F437" s="63"/>
      <c r="G437" s="80">
        <f>AK53</f>
        <v>0</v>
      </c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</row>
    <row r="438" spans="1:47">
      <c r="A438" s="63" t="str">
        <f>A55</f>
        <v xml:space="preserve">      Total Items Affecting Intercompany (Corp.) Balance</v>
      </c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80">
        <f>SUM(G434:G437)</f>
        <v>0</v>
      </c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</row>
    <row r="439" spans="1:47" ht="6" customHeight="1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</row>
    <row r="440" spans="1:47">
      <c r="A440" s="61" t="s">
        <v>367</v>
      </c>
      <c r="B440" s="63"/>
      <c r="C440" s="88"/>
      <c r="D440" s="75">
        <f>P57</f>
        <v>32481</v>
      </c>
      <c r="E440" s="88"/>
      <c r="F440" s="63"/>
      <c r="G440" s="75"/>
      <c r="H440" s="63"/>
      <c r="I440" s="63"/>
      <c r="J440" s="63"/>
      <c r="K440" s="63"/>
      <c r="L440" s="63"/>
      <c r="M440" s="89" t="e">
        <f>SUM(M378:M439)</f>
        <v>#REF!</v>
      </c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</row>
    <row r="441" spans="1:47" ht="8.1" customHeight="1">
      <c r="A441" s="63"/>
      <c r="B441" s="88"/>
      <c r="C441" s="88"/>
      <c r="D441" s="63"/>
      <c r="E441" s="88"/>
      <c r="F441" s="63"/>
      <c r="G441" s="75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</row>
    <row r="442" spans="1:47">
      <c r="A442" s="84" t="s">
        <v>456</v>
      </c>
      <c r="B442" s="84" t="s">
        <v>456</v>
      </c>
      <c r="C442" s="84" t="s">
        <v>456</v>
      </c>
      <c r="D442" s="84" t="s">
        <v>456</v>
      </c>
      <c r="E442" s="84" t="s">
        <v>456</v>
      </c>
      <c r="F442" s="84" t="s">
        <v>456</v>
      </c>
      <c r="G442" s="84" t="s">
        <v>456</v>
      </c>
      <c r="H442" s="84" t="s">
        <v>456</v>
      </c>
      <c r="I442" s="84" t="s">
        <v>456</v>
      </c>
      <c r="J442" s="84" t="s">
        <v>456</v>
      </c>
      <c r="K442" s="84" t="s">
        <v>456</v>
      </c>
      <c r="L442" s="84" t="s">
        <v>456</v>
      </c>
      <c r="M442" s="84" t="s">
        <v>456</v>
      </c>
      <c r="N442" s="84" t="s">
        <v>456</v>
      </c>
      <c r="O442" s="84" t="s">
        <v>456</v>
      </c>
      <c r="P442" s="84" t="s">
        <v>456</v>
      </c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</row>
    <row r="443" spans="1:47">
      <c r="A443" s="64" t="str">
        <f ca="1">A1</f>
        <v>C:\Users\Felienne\Enron\EnronSpreadsheets\[tracy_geaccone__40393__NNG3rdCECF.xls]BACKUP</v>
      </c>
      <c r="B443" s="60"/>
      <c r="C443" s="60" t="str">
        <f>I1</f>
        <v>NORTHERN NATURAL GAS GROUP</v>
      </c>
      <c r="D443" s="60"/>
      <c r="E443" s="60"/>
      <c r="F443" s="60"/>
      <c r="G443" s="60"/>
      <c r="H443" s="60"/>
      <c r="I443" s="60"/>
      <c r="J443" s="60"/>
      <c r="K443" s="63"/>
      <c r="L443" s="63"/>
      <c r="M443" s="85">
        <f ca="1">NOW()</f>
        <v>41887.551206018521</v>
      </c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</row>
    <row r="444" spans="1:47">
      <c r="A444" s="66" t="s">
        <v>473</v>
      </c>
      <c r="B444" s="60"/>
      <c r="C444" s="60" t="str">
        <f>I2</f>
        <v>CASH FLOW STATEMENT</v>
      </c>
      <c r="D444" s="60"/>
      <c r="E444" s="60"/>
      <c r="F444" s="60"/>
      <c r="G444" s="60"/>
      <c r="H444" s="60"/>
      <c r="I444" s="60"/>
      <c r="J444" s="60"/>
      <c r="K444" s="63"/>
      <c r="L444" s="63"/>
      <c r="M444" s="86">
        <f ca="1">NOW()</f>
        <v>41887.551206018521</v>
      </c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</row>
    <row r="445" spans="1:47">
      <c r="A445" s="60"/>
      <c r="B445" s="60"/>
      <c r="C445" s="60" t="str">
        <f>I3</f>
        <v>2001 ACTUAL / ESTIMATE</v>
      </c>
      <c r="D445" s="60"/>
      <c r="E445" s="60"/>
      <c r="F445" s="60"/>
      <c r="G445" s="60"/>
      <c r="H445" s="60"/>
      <c r="I445" s="60"/>
      <c r="J445" s="60"/>
      <c r="K445" s="60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</row>
    <row r="446" spans="1:47">
      <c r="A446" s="60"/>
      <c r="B446" s="60"/>
      <c r="C446" s="60" t="str">
        <f>I4</f>
        <v>(Thousands of Dollars)</v>
      </c>
      <c r="D446" s="60"/>
      <c r="E446" s="60"/>
      <c r="F446" s="60"/>
      <c r="G446" s="60"/>
      <c r="H446" s="60"/>
      <c r="I446" s="60"/>
      <c r="J446" s="60"/>
      <c r="K446" s="60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</row>
    <row r="447" spans="1: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</row>
    <row r="448" spans="1:47">
      <c r="A448" s="60"/>
      <c r="B448" s="60"/>
      <c r="C448" s="60"/>
      <c r="D448" s="60"/>
      <c r="E448" s="60"/>
      <c r="F448" s="60"/>
      <c r="G448" s="60"/>
      <c r="H448" s="60"/>
      <c r="I448" s="72" t="s">
        <v>458</v>
      </c>
      <c r="J448" s="72"/>
      <c r="K448" s="72"/>
      <c r="L448" s="63"/>
      <c r="M448" s="71" t="s">
        <v>459</v>
      </c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</row>
    <row r="449" spans="1:47" ht="12.95" customHeight="1">
      <c r="A449" s="60"/>
      <c r="B449" s="60"/>
      <c r="C449" s="60"/>
      <c r="D449" s="60"/>
      <c r="E449" s="60"/>
      <c r="F449" s="60"/>
      <c r="G449" s="60"/>
      <c r="H449" s="60"/>
      <c r="I449" s="73" t="s">
        <v>460</v>
      </c>
      <c r="J449" s="60"/>
      <c r="K449" s="73" t="s">
        <v>461</v>
      </c>
      <c r="L449" s="63"/>
      <c r="M449" s="73" t="s">
        <v>462</v>
      </c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</row>
    <row r="450" spans="1:47" ht="3.95" customHeight="1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</row>
    <row r="451" spans="1:47">
      <c r="A451" s="61" t="s">
        <v>474</v>
      </c>
      <c r="B451" s="63"/>
      <c r="C451" s="63"/>
      <c r="D451" s="63"/>
      <c r="E451" s="63"/>
      <c r="F451" s="63"/>
      <c r="G451" s="63"/>
      <c r="H451" s="63"/>
      <c r="I451" s="87">
        <f>AM47</f>
        <v>19489</v>
      </c>
      <c r="J451" s="63"/>
      <c r="K451" s="87" t="e">
        <f>#REF!</f>
        <v>#REF!</v>
      </c>
      <c r="L451" s="63"/>
      <c r="M451" s="87">
        <f>AM57</f>
        <v>19489</v>
      </c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</row>
    <row r="452" spans="1:47" ht="3.95" customHeight="1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</row>
    <row r="453" spans="1:47">
      <c r="A453" s="77" t="s">
        <v>464</v>
      </c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</row>
    <row r="454" spans="1:47">
      <c r="A454" s="63" t="str">
        <f>A9</f>
        <v xml:space="preserve">   Net Income </v>
      </c>
      <c r="B454" s="63"/>
      <c r="C454" s="63"/>
      <c r="D454" s="63"/>
      <c r="E454" s="63"/>
      <c r="F454" s="63"/>
      <c r="G454" s="75">
        <f>AN9</f>
        <v>-5078</v>
      </c>
      <c r="H454" s="63"/>
      <c r="I454" s="88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</row>
    <row r="455" spans="1:47">
      <c r="A455" s="63" t="str">
        <f>A11</f>
        <v xml:space="preserve">      Depreciation and Amortization</v>
      </c>
      <c r="B455" s="63"/>
      <c r="C455" s="63"/>
      <c r="D455" s="63"/>
      <c r="E455" s="63"/>
      <c r="F455" s="63"/>
      <c r="G455" s="75">
        <f>AN11</f>
        <v>-144</v>
      </c>
      <c r="H455" s="63"/>
      <c r="I455" s="88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</row>
    <row r="456" spans="1:47">
      <c r="A456" s="63" t="str">
        <f>A12</f>
        <v xml:space="preserve">      Regulatory Amortization - TCR</v>
      </c>
      <c r="B456" s="88"/>
      <c r="C456" s="88"/>
      <c r="D456" s="63"/>
      <c r="E456" s="88"/>
      <c r="F456" s="63"/>
      <c r="G456" s="75">
        <f>AN12</f>
        <v>0</v>
      </c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</row>
    <row r="457" spans="1:47">
      <c r="A457" s="63" t="e">
        <f>#REF!</f>
        <v>#REF!</v>
      </c>
      <c r="B457" s="63"/>
      <c r="C457" s="63"/>
      <c r="D457" s="63"/>
      <c r="E457" s="63"/>
      <c r="F457" s="63"/>
      <c r="G457" s="75" t="e">
        <f>#REF!</f>
        <v>#REF!</v>
      </c>
      <c r="H457" s="63"/>
      <c r="I457" s="88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</row>
    <row r="458" spans="1:47">
      <c r="A458" s="63" t="str">
        <f>A13</f>
        <v xml:space="preserve">      Deferred Income Taxes - Both Current and Noncurrent </v>
      </c>
      <c r="B458" s="63"/>
      <c r="C458" s="63"/>
      <c r="D458" s="63"/>
      <c r="E458" s="63"/>
      <c r="F458" s="63"/>
      <c r="G458" s="75">
        <f>AN13</f>
        <v>1696</v>
      </c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</row>
    <row r="459" spans="1:47">
      <c r="A459" s="63" t="e">
        <f>#REF!</f>
        <v>#REF!</v>
      </c>
      <c r="B459" s="63"/>
      <c r="C459" s="63"/>
      <c r="D459" s="63"/>
      <c r="E459" s="63"/>
      <c r="F459" s="63"/>
      <c r="G459" s="75" t="e">
        <f>#REF!</f>
        <v>#REF!</v>
      </c>
      <c r="H459" s="63"/>
      <c r="I459" s="75" t="e">
        <f>SUM(G454:G459)</f>
        <v>#REF!</v>
      </c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</row>
    <row r="460" spans="1:47" ht="3.95" customHeight="1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</row>
    <row r="461" spans="1:47">
      <c r="A461" s="77" t="s">
        <v>465</v>
      </c>
      <c r="B461" s="63"/>
      <c r="C461" s="63"/>
      <c r="D461" s="63"/>
      <c r="E461" s="63"/>
      <c r="F461" s="63"/>
      <c r="G461" s="75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</row>
    <row r="462" spans="1:47">
      <c r="A462" s="63" t="str">
        <f>A16</f>
        <v xml:space="preserve">      Accounts and Notes Receivable - Trade Only (6/01 Forward)</v>
      </c>
      <c r="B462" s="88"/>
      <c r="C462" s="88"/>
      <c r="D462" s="63"/>
      <c r="E462" s="63"/>
      <c r="F462" s="63"/>
      <c r="G462" s="75">
        <f>AN16</f>
        <v>-140</v>
      </c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</row>
    <row r="463" spans="1:47">
      <c r="A463" s="63" t="str">
        <f>A17</f>
        <v xml:space="preserve">      Inventories</v>
      </c>
      <c r="B463" s="90" t="s">
        <v>475</v>
      </c>
      <c r="C463" s="88"/>
      <c r="D463" s="63"/>
      <c r="E463" s="63"/>
      <c r="F463" s="63"/>
      <c r="G463" s="75">
        <f>AN17</f>
        <v>-1</v>
      </c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</row>
    <row r="464" spans="1:47">
      <c r="A464" s="63" t="str">
        <f>A18</f>
        <v xml:space="preserve">      Accounts Payable - Trade Only (6/01 Forward)</v>
      </c>
      <c r="B464" s="88"/>
      <c r="C464" s="88"/>
      <c r="D464" s="63"/>
      <c r="E464" s="63"/>
      <c r="F464" s="63"/>
      <c r="G464" s="75">
        <f>AN18</f>
        <v>1182</v>
      </c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</row>
    <row r="465" spans="1:47">
      <c r="A465" s="63" t="str">
        <f>A20</f>
        <v xml:space="preserve">      Over / (Under) Recovered Gas Cost</v>
      </c>
      <c r="B465" s="88"/>
      <c r="C465" s="88"/>
      <c r="D465" s="63"/>
      <c r="E465" s="63"/>
      <c r="F465" s="63"/>
      <c r="G465" s="75">
        <f>AN20</f>
        <v>0</v>
      </c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</row>
    <row r="466" spans="1:47">
      <c r="A466" s="63" t="str">
        <f>A21</f>
        <v xml:space="preserve">      Exchange Gas - Receivable</v>
      </c>
      <c r="B466" s="88"/>
      <c r="C466" s="88"/>
      <c r="D466" s="63"/>
      <c r="E466" s="63"/>
      <c r="F466" s="63"/>
      <c r="G466" s="75">
        <f>AN21</f>
        <v>15728</v>
      </c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</row>
    <row r="467" spans="1:47">
      <c r="A467" s="63" t="str">
        <f>A23</f>
        <v xml:space="preserve">      Prepayments</v>
      </c>
      <c r="B467" s="88"/>
      <c r="C467" s="88"/>
      <c r="D467" s="63"/>
      <c r="E467" s="63"/>
      <c r="F467" s="63"/>
      <c r="G467" s="75">
        <f>AN23</f>
        <v>-162</v>
      </c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</row>
    <row r="468" spans="1:47">
      <c r="A468" s="63" t="e">
        <f>#REF!</f>
        <v>#REF!</v>
      </c>
      <c r="B468" s="88"/>
      <c r="C468" s="88"/>
      <c r="D468" s="63"/>
      <c r="E468" s="63"/>
      <c r="F468" s="63"/>
      <c r="G468" s="75" t="e">
        <f>#REF!</f>
        <v>#REF!</v>
      </c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</row>
    <row r="469" spans="1:47">
      <c r="A469" s="63" t="str">
        <f>A24</f>
        <v xml:space="preserve">      Accrued Interest - Third Party</v>
      </c>
      <c r="B469" s="88"/>
      <c r="C469" s="88"/>
      <c r="D469" s="63"/>
      <c r="E469" s="63"/>
      <c r="F469" s="63"/>
      <c r="G469" s="75">
        <f>AN24</f>
        <v>0</v>
      </c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</row>
    <row r="470" spans="1:47">
      <c r="A470" s="63" t="str">
        <f>A25</f>
        <v xml:space="preserve">      Accrued Taxes, other than income</v>
      </c>
      <c r="B470" s="88"/>
      <c r="C470" s="88"/>
      <c r="D470" s="63"/>
      <c r="E470" s="63"/>
      <c r="F470" s="63"/>
      <c r="G470" s="75">
        <f>AN25</f>
        <v>363</v>
      </c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</row>
    <row r="471" spans="1:47">
      <c r="A471" s="63" t="str">
        <f>A26</f>
        <v xml:space="preserve">      Other Current Assets or Liabilities (W/O Reserve Activity)</v>
      </c>
      <c r="B471" s="88"/>
      <c r="C471" s="88"/>
      <c r="D471" s="63"/>
      <c r="E471" s="63"/>
      <c r="F471" s="63"/>
      <c r="G471" s="75">
        <f>AN26</f>
        <v>-3122</v>
      </c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</row>
    <row r="472" spans="1:47" ht="6" customHeight="1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</row>
    <row r="473" spans="1:47">
      <c r="A473" s="63" t="str">
        <f>A28</f>
        <v xml:space="preserve">   Deferred Severance / Relocation Charges</v>
      </c>
      <c r="B473" s="63"/>
      <c r="C473" s="63"/>
      <c r="D473" s="63"/>
      <c r="E473" s="63"/>
      <c r="F473" s="63"/>
      <c r="G473" s="75">
        <f>AN28</f>
        <v>0</v>
      </c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</row>
    <row r="474" spans="1:47">
      <c r="A474" s="63" t="e">
        <f>#REF!</f>
        <v>#REF!</v>
      </c>
      <c r="B474" s="63"/>
      <c r="C474" s="63"/>
      <c r="D474" s="63"/>
      <c r="E474" s="63"/>
      <c r="F474" s="63"/>
      <c r="G474" s="75" t="e">
        <f>#REF!</f>
        <v>#REF!</v>
      </c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</row>
    <row r="475" spans="1:47">
      <c r="A475" s="63" t="e">
        <f>#REF!</f>
        <v>#REF!</v>
      </c>
      <c r="B475" s="63"/>
      <c r="C475" s="63"/>
      <c r="D475" s="63"/>
      <c r="E475" s="63"/>
      <c r="F475" s="63"/>
      <c r="G475" s="75" t="e">
        <f>#REF!</f>
        <v>#REF!</v>
      </c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</row>
    <row r="476" spans="1:47">
      <c r="A476" s="63" t="str">
        <f>A30</f>
        <v xml:space="preserve">   Equity Earnings</v>
      </c>
      <c r="B476" s="63"/>
      <c r="C476" s="63"/>
      <c r="D476" s="63"/>
      <c r="E476" s="63"/>
      <c r="F476" s="63"/>
      <c r="G476" s="75">
        <f>AN30</f>
        <v>23</v>
      </c>
      <c r="H476" s="63"/>
      <c r="I476" s="88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</row>
    <row r="477" spans="1:47">
      <c r="A477" s="63" t="str">
        <f>A31</f>
        <v xml:space="preserve">   Equity / Partner. Distributions / Overthrust Sale (Book Basis)</v>
      </c>
      <c r="B477" s="63"/>
      <c r="C477" s="63"/>
      <c r="D477" s="63"/>
      <c r="E477" s="63"/>
      <c r="F477" s="63"/>
      <c r="G477" s="75">
        <f>AN31</f>
        <v>2000</v>
      </c>
      <c r="H477" s="63"/>
      <c r="I477" s="88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</row>
    <row r="478" spans="1:47">
      <c r="A478" s="63" t="str">
        <f>A32</f>
        <v xml:space="preserve">   Net (Gain) / Loss on Sale of Assets</v>
      </c>
      <c r="B478" s="63"/>
      <c r="C478" s="63"/>
      <c r="D478" s="63"/>
      <c r="E478" s="63"/>
      <c r="F478" s="63"/>
      <c r="G478" s="75">
        <f>AN32</f>
        <v>7647</v>
      </c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</row>
    <row r="479" spans="1:47">
      <c r="A479" s="63" t="str">
        <f>A33</f>
        <v xml:space="preserve">   Other Regulatory Assets / Liabilities</v>
      </c>
      <c r="B479" s="63"/>
      <c r="C479" s="63"/>
      <c r="D479" s="63"/>
      <c r="E479" s="63"/>
      <c r="F479" s="63"/>
      <c r="G479" s="75">
        <f>AN33</f>
        <v>4961</v>
      </c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</row>
    <row r="480" spans="1:47">
      <c r="A480" s="91" t="s">
        <v>476</v>
      </c>
      <c r="B480" s="63"/>
      <c r="C480" s="63"/>
      <c r="D480" s="63"/>
      <c r="E480" s="76">
        <v>-18794</v>
      </c>
      <c r="F480" s="63"/>
      <c r="G480" s="75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</row>
    <row r="481" spans="1:47">
      <c r="A481" s="63" t="str">
        <f>A408</f>
        <v xml:space="preserve">      - Severance (Involuntary / Voluntary) </v>
      </c>
      <c r="B481" s="63"/>
      <c r="C481" s="63"/>
      <c r="D481" s="63"/>
      <c r="E481" s="75">
        <f>-P312-P313-P315+U312+U313+U315</f>
        <v>0</v>
      </c>
      <c r="F481" s="63"/>
      <c r="G481" s="75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</row>
    <row r="482" spans="1:47">
      <c r="A482" s="91" t="s">
        <v>477</v>
      </c>
      <c r="B482" s="63"/>
      <c r="C482" s="63"/>
      <c r="D482" s="63"/>
      <c r="E482" s="76">
        <v>-23425</v>
      </c>
      <c r="F482" s="63"/>
      <c r="G482" s="75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</row>
    <row r="483" spans="1:47">
      <c r="A483" s="63" t="str">
        <f>A410</f>
        <v xml:space="preserve">      - Unamortized Debt Expense</v>
      </c>
      <c r="B483" s="63"/>
      <c r="C483" s="63"/>
      <c r="D483" s="63"/>
      <c r="E483" s="75">
        <f>-P308+U308</f>
        <v>0</v>
      </c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</row>
    <row r="484" spans="1:47">
      <c r="A484" s="63" t="str">
        <f>A411</f>
        <v xml:space="preserve">      - Other Deferred Charges (Actual Adjust.)</v>
      </c>
      <c r="B484" s="63"/>
      <c r="C484" s="63"/>
      <c r="D484" s="63"/>
      <c r="E484" s="75">
        <f>-P318+U318</f>
        <v>0</v>
      </c>
      <c r="F484" s="63"/>
      <c r="G484" s="75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</row>
    <row r="485" spans="1:47">
      <c r="A485" s="63" t="str">
        <f>A412</f>
        <v xml:space="preserve">      - Other Deferred Credits (Actual Adjust.)</v>
      </c>
      <c r="B485" s="63"/>
      <c r="C485" s="63"/>
      <c r="D485" s="63"/>
      <c r="E485" s="75" t="e">
        <f>#REF!-#REF!</f>
        <v>#REF!</v>
      </c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</row>
    <row r="486" spans="1:47">
      <c r="A486" s="91" t="s">
        <v>478</v>
      </c>
      <c r="B486" s="63"/>
      <c r="C486" s="63"/>
      <c r="D486" s="63"/>
      <c r="E486" s="75" t="e">
        <f>G486-SUM(E480:E485)</f>
        <v>#REF!</v>
      </c>
      <c r="F486" s="63"/>
      <c r="G486" s="80">
        <f>AN34</f>
        <v>651</v>
      </c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</row>
    <row r="487" spans="1:47">
      <c r="A487" s="77" t="s">
        <v>472</v>
      </c>
      <c r="B487" s="63"/>
      <c r="C487" s="63"/>
      <c r="D487" s="63"/>
      <c r="E487" s="63"/>
      <c r="F487" s="63"/>
      <c r="G487" s="63"/>
      <c r="H487" s="63"/>
      <c r="I487" s="75" t="e">
        <f>SUM(G459:G487)</f>
        <v>#REF!</v>
      </c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</row>
    <row r="488" spans="1:47" ht="3.95" customHeight="1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</row>
    <row r="489" spans="1:47">
      <c r="A489" s="63" t="str">
        <f>A38</f>
        <v>CASH FLOW FROM INVESTING ACTIVITIES</v>
      </c>
      <c r="B489" s="63"/>
      <c r="C489" s="63"/>
      <c r="D489" s="63"/>
      <c r="E489" s="63"/>
      <c r="F489" s="63"/>
      <c r="G489" s="75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</row>
    <row r="490" spans="1:47">
      <c r="A490" s="63" t="str">
        <f>A39</f>
        <v xml:space="preserve">   Proceeds from Sale (Various)</v>
      </c>
      <c r="B490" s="63"/>
      <c r="C490" s="63"/>
      <c r="D490" s="63"/>
      <c r="E490" s="63"/>
      <c r="F490" s="63"/>
      <c r="G490" s="75">
        <f>AN39</f>
        <v>-5847</v>
      </c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</row>
    <row r="491" spans="1:47">
      <c r="A491" s="63" t="str">
        <f>A40</f>
        <v xml:space="preserve">   Additions to Property </v>
      </c>
      <c r="B491" s="63"/>
      <c r="C491" s="63"/>
      <c r="D491" s="63"/>
      <c r="E491" s="63"/>
      <c r="F491" s="63"/>
      <c r="G491" s="75">
        <f>AN40</f>
        <v>9400</v>
      </c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</row>
    <row r="492" spans="1:47">
      <c r="A492" s="63" t="str">
        <f>A41</f>
        <v xml:space="preserve">   Other Capital Expenditures</v>
      </c>
      <c r="B492" s="88"/>
      <c r="C492" s="88"/>
      <c r="D492" s="63"/>
      <c r="E492" s="63"/>
      <c r="F492" s="63"/>
      <c r="G492" s="75">
        <f>AN41</f>
        <v>5242</v>
      </c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</row>
    <row r="493" spans="1:47">
      <c r="A493" s="63" t="str">
        <f>A42</f>
        <v xml:space="preserve">   Other Investments (McDay Energy / Misc.)</v>
      </c>
      <c r="B493" s="92" t="s">
        <v>479</v>
      </c>
      <c r="C493" s="88"/>
      <c r="D493" s="63"/>
      <c r="E493" s="63"/>
      <c r="F493" s="63"/>
      <c r="G493" s="80">
        <f>AN42</f>
        <v>0</v>
      </c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</row>
    <row r="494" spans="1:47">
      <c r="A494" s="77" t="s">
        <v>480</v>
      </c>
      <c r="B494" s="88"/>
      <c r="C494" s="88"/>
      <c r="D494" s="63"/>
      <c r="E494" s="88"/>
      <c r="F494" s="63"/>
      <c r="G494" s="63"/>
      <c r="H494" s="63"/>
      <c r="I494" s="80">
        <f>SUM(G489:G494)</f>
        <v>8795</v>
      </c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</row>
    <row r="495" spans="1:47" ht="3.95" customHeight="1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</row>
    <row r="496" spans="1:47">
      <c r="A496" s="60" t="str">
        <f>A47</f>
        <v xml:space="preserve">            Net Cash Flow Before Corporate Adjustments</v>
      </c>
      <c r="B496" s="63"/>
      <c r="C496" s="63"/>
      <c r="D496" s="75">
        <f>P47</f>
        <v>32481</v>
      </c>
      <c r="E496" s="63"/>
      <c r="F496" s="63"/>
      <c r="G496" s="63"/>
      <c r="H496" s="63"/>
      <c r="I496" s="87" t="e">
        <f>SUM(I451:I495)</f>
        <v>#REF!</v>
      </c>
      <c r="J496" s="63"/>
      <c r="K496" s="75" t="e">
        <f>I496-I451</f>
        <v>#REF!</v>
      </c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</row>
    <row r="497" spans="1:47" ht="3.95" customHeight="1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</row>
    <row r="498" spans="1:47">
      <c r="A498" s="63" t="e">
        <f>#REF!</f>
        <v>#REF!</v>
      </c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</row>
    <row r="499" spans="1:47">
      <c r="A499" s="63" t="e">
        <f>#REF!</f>
        <v>#REF!</v>
      </c>
      <c r="B499" s="88"/>
      <c r="C499" s="88"/>
      <c r="D499" s="63"/>
      <c r="E499" s="63"/>
      <c r="F499" s="63"/>
      <c r="G499" s="75" t="e">
        <f>#REF!</f>
        <v>#REF!</v>
      </c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</row>
    <row r="500" spans="1:47">
      <c r="A500" s="63" t="e">
        <f>#REF!</f>
        <v>#REF!</v>
      </c>
      <c r="B500" s="63"/>
      <c r="C500" s="63"/>
      <c r="D500" s="63"/>
      <c r="E500" s="63"/>
      <c r="F500" s="63"/>
      <c r="G500" s="75" t="e">
        <f>#REF!</f>
        <v>#REF!</v>
      </c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</row>
    <row r="501" spans="1:47">
      <c r="A501" s="63" t="str">
        <f>A19</f>
        <v xml:space="preserve">                    - Other</v>
      </c>
      <c r="B501" s="88"/>
      <c r="C501" s="88"/>
      <c r="D501" s="63"/>
      <c r="E501" s="63"/>
      <c r="F501" s="63"/>
      <c r="G501" s="80">
        <f>AN19</f>
        <v>-366</v>
      </c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</row>
    <row r="502" spans="1:47">
      <c r="A502" s="63" t="e">
        <f>#REF!</f>
        <v>#REF!</v>
      </c>
      <c r="B502" s="63"/>
      <c r="C502" s="63"/>
      <c r="D502" s="63"/>
      <c r="E502" s="63"/>
      <c r="F502" s="63"/>
      <c r="G502" s="63"/>
      <c r="H502" s="63"/>
      <c r="I502" s="63"/>
      <c r="J502" s="63"/>
      <c r="K502" s="80" t="e">
        <f>SUM(G499:G501)</f>
        <v>#REF!</v>
      </c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</row>
    <row r="503" spans="1:47" ht="3.95" customHeight="1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</row>
    <row r="504" spans="1:47">
      <c r="A504" s="60" t="e">
        <f>#REF!</f>
        <v>#REF!</v>
      </c>
      <c r="B504" s="63"/>
      <c r="C504" s="63"/>
      <c r="D504" s="75" t="e">
        <f>#REF!</f>
        <v>#REF!</v>
      </c>
      <c r="E504" s="63"/>
      <c r="F504" s="63"/>
      <c r="G504" s="63"/>
      <c r="H504" s="63"/>
      <c r="I504" s="87"/>
      <c r="J504" s="63"/>
      <c r="K504" s="87" t="e">
        <f>SUM(K451:K502)</f>
        <v>#REF!</v>
      </c>
      <c r="L504" s="63"/>
      <c r="M504" s="75" t="e">
        <f>K504-K451</f>
        <v>#REF!</v>
      </c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</row>
    <row r="505" spans="1:47" ht="3.95" customHeight="1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</row>
    <row r="506" spans="1:47">
      <c r="A506" s="63" t="str">
        <f>A49</f>
        <v>OTHER ITEMS AFFECTING INTERCO. (CORP.) BALANCE</v>
      </c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</row>
    <row r="507" spans="1:47">
      <c r="A507" s="63" t="str">
        <f>A50</f>
        <v xml:space="preserve">   Dividends Transferred to EPC </v>
      </c>
      <c r="B507" s="88"/>
      <c r="C507" s="88"/>
      <c r="D507" s="63"/>
      <c r="E507" s="63"/>
      <c r="F507" s="63"/>
      <c r="G507" s="75">
        <f>AN50</f>
        <v>0</v>
      </c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</row>
    <row r="508" spans="1:47">
      <c r="A508" s="63" t="str">
        <f>A51</f>
        <v xml:space="preserve">   Inc. / (Dec.) in Long-Term Debt  (External)</v>
      </c>
      <c r="B508" s="88"/>
      <c r="C508" s="88"/>
      <c r="D508" s="63"/>
      <c r="E508" s="63"/>
      <c r="F508" s="63"/>
      <c r="G508" s="75">
        <f>AN51</f>
        <v>0</v>
      </c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</row>
    <row r="509" spans="1:47">
      <c r="A509" s="63" t="str">
        <f>A52</f>
        <v xml:space="preserve">   Inc. / (Dec.) in Long-Term Debt Discount </v>
      </c>
      <c r="B509" s="63"/>
      <c r="C509" s="63"/>
      <c r="D509" s="63"/>
      <c r="E509" s="63"/>
      <c r="F509" s="63"/>
      <c r="G509" s="75">
        <f>AN52</f>
        <v>0</v>
      </c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</row>
    <row r="510" spans="1:47">
      <c r="A510" s="63" t="str">
        <f>A53</f>
        <v xml:space="preserve">   Contribution from Parent </v>
      </c>
      <c r="B510" s="63"/>
      <c r="C510" s="63"/>
      <c r="D510" s="63"/>
      <c r="E510" s="63"/>
      <c r="F510" s="63"/>
      <c r="G510" s="80">
        <f>AN53</f>
        <v>0</v>
      </c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</row>
    <row r="511" spans="1:47">
      <c r="A511" s="63" t="str">
        <f>A55</f>
        <v xml:space="preserve">      Total Items Affecting Intercompany (Corp.) Balance</v>
      </c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80">
        <f>SUM(G507:G510)</f>
        <v>0</v>
      </c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</row>
    <row r="512" spans="1:47" ht="6" customHeight="1">
      <c r="A512" s="63"/>
      <c r="B512" s="88"/>
      <c r="C512" s="88"/>
      <c r="D512" s="63"/>
      <c r="E512" s="88"/>
      <c r="F512" s="63"/>
      <c r="G512" s="75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</row>
    <row r="513" spans="1:47">
      <c r="A513" s="61" t="s">
        <v>367</v>
      </c>
      <c r="B513" s="63"/>
      <c r="C513" s="88"/>
      <c r="D513" s="75">
        <f>P57</f>
        <v>32481</v>
      </c>
      <c r="E513" s="88"/>
      <c r="F513" s="63"/>
      <c r="G513" s="75"/>
      <c r="H513" s="63"/>
      <c r="I513" s="63"/>
      <c r="J513" s="63"/>
      <c r="K513" s="63"/>
      <c r="L513" s="63"/>
      <c r="M513" s="89" t="e">
        <f>SUM(M451:M512)</f>
        <v>#REF!</v>
      </c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</row>
    <row r="514" spans="1:47" ht="8.1" customHeight="1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</row>
    <row r="517" spans="1:47">
      <c r="B517" s="4" t="s">
        <v>481</v>
      </c>
      <c r="C517" s="4" t="s">
        <v>482</v>
      </c>
    </row>
    <row r="518" spans="1:47">
      <c r="C518" s="4" t="s">
        <v>483</v>
      </c>
    </row>
  </sheetData>
  <phoneticPr fontId="0" type="noConversion"/>
  <printOptions horizontalCentered="1" gridLinesSet="0"/>
  <pageMargins left="0.25" right="0.25" top="0.25" bottom="0.25" header="0.5" footer="0.5"/>
  <pageSetup paperSize="5" scale="70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Line="0" autoPict="0" macro="[0]!PrintCashFlow">
                <anchor moveWithCells="1" sizeWithCells="1">
                  <from>
                    <xdr:col>0</xdr:col>
                    <xdr:colOff>1476375</xdr:colOff>
                    <xdr:row>2</xdr:row>
                    <xdr:rowOff>104775</xdr:rowOff>
                  </from>
                  <to>
                    <xdr:col>1</xdr:col>
                    <xdr:colOff>76200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31"/>
  <dimension ref="A1:AV68"/>
  <sheetViews>
    <sheetView showGridLines="0" workbookViewId="0"/>
  </sheetViews>
  <sheetFormatPr defaultColWidth="10.7109375" defaultRowHeight="12.75"/>
  <cols>
    <col min="1" max="1" width="40.7109375" style="3" customWidth="1"/>
    <col min="2" max="3" width="8.7109375" style="3" customWidth="1"/>
    <col min="4" max="17" width="9.7109375" style="3" customWidth="1"/>
    <col min="18" max="18" width="10.7109375" style="3" customWidth="1"/>
    <col min="19" max="19" width="4.7109375" style="3" customWidth="1"/>
    <col min="20" max="22" width="9.7109375" style="3" customWidth="1"/>
    <col min="23" max="26" width="1.7109375" style="3" customWidth="1"/>
    <col min="27" max="27" width="40.7109375" style="3" customWidth="1"/>
    <col min="28" max="29" width="8.7109375" style="3" customWidth="1"/>
    <col min="30" max="43" width="9.7109375" style="3" customWidth="1"/>
    <col min="44" max="44" width="10.7109375" style="3"/>
    <col min="45" max="45" width="4.7109375" style="3" customWidth="1"/>
    <col min="46" max="48" width="9.7109375" style="3" customWidth="1"/>
    <col min="49" max="16384" width="10.7109375" style="3"/>
  </cols>
  <sheetData>
    <row r="1" spans="1:48">
      <c r="A1" s="167" t="str">
        <f ca="1">BACKUP!A1</f>
        <v>C:\Users\Felienne\Enron\EnronSpreadsheets\[tracy_geaccone__40393__NNG3rdCECF.xls]BACKUP</v>
      </c>
      <c r="H1" s="102" t="str">
        <f>BALSHEET!AE1</f>
        <v>TRAILBLAZER &amp; OVERTHRUST PIPELINES</v>
      </c>
      <c r="I1" s="102"/>
      <c r="J1" s="102"/>
      <c r="K1" s="102"/>
      <c r="L1" s="102"/>
      <c r="M1" s="102"/>
      <c r="V1" s="236">
        <f ca="1">NOW()</f>
        <v>41887.551206018521</v>
      </c>
      <c r="AA1" s="64" t="str">
        <f ca="1">A1</f>
        <v>C:\Users\Felienne\Enron\EnronSpreadsheets\[tracy_geaccone__40393__NNG3rdCECF.xls]BACKUP</v>
      </c>
      <c r="AB1" s="63"/>
      <c r="AC1" s="63"/>
      <c r="AD1" s="63"/>
      <c r="AE1" s="63"/>
      <c r="AF1" s="63"/>
      <c r="AG1" s="63"/>
      <c r="AH1" s="182" t="s">
        <v>599</v>
      </c>
      <c r="AI1" s="161"/>
      <c r="AJ1" s="161"/>
      <c r="AK1" s="161"/>
      <c r="AL1" s="161"/>
      <c r="AM1" s="161"/>
      <c r="AN1" s="63"/>
      <c r="AO1" s="63"/>
      <c r="AP1" s="63"/>
      <c r="AQ1" s="63"/>
      <c r="AR1" s="63"/>
      <c r="AS1" s="63"/>
      <c r="AT1" s="63"/>
      <c r="AU1" s="63"/>
      <c r="AV1" s="236">
        <f ca="1">NOW()</f>
        <v>41887.551206018521</v>
      </c>
    </row>
    <row r="2" spans="1:48" ht="12.75" customHeight="1">
      <c r="A2" s="59" t="s">
        <v>600</v>
      </c>
      <c r="B2" s="63"/>
      <c r="C2" s="63"/>
      <c r="H2" s="63"/>
      <c r="I2" s="159" t="s">
        <v>403</v>
      </c>
      <c r="J2" s="161"/>
      <c r="K2" s="161"/>
      <c r="L2" s="161"/>
      <c r="M2" s="121"/>
      <c r="N2" s="121"/>
      <c r="O2" s="121"/>
      <c r="P2" s="121"/>
      <c r="Q2" s="161"/>
      <c r="R2" s="63"/>
      <c r="S2" s="63"/>
      <c r="T2" s="63"/>
      <c r="U2" s="63"/>
      <c r="V2" s="67">
        <f ca="1">NOW()</f>
        <v>41887.551206018521</v>
      </c>
      <c r="W2" s="63"/>
      <c r="X2" s="63"/>
      <c r="Y2" s="63"/>
      <c r="Z2" s="63"/>
      <c r="AA2" s="59" t="s">
        <v>601</v>
      </c>
      <c r="AB2" s="63"/>
      <c r="AC2" s="63"/>
      <c r="AD2" s="63"/>
      <c r="AE2" s="63"/>
      <c r="AF2" s="63"/>
      <c r="AG2" s="63"/>
      <c r="AH2" s="63"/>
      <c r="AI2" s="102" t="str">
        <f>I2</f>
        <v>FUNDS FLOW STATEMENT</v>
      </c>
      <c r="AJ2" s="102"/>
      <c r="AK2" s="102"/>
      <c r="AL2" s="102"/>
      <c r="AM2" s="63"/>
      <c r="AN2" s="63"/>
      <c r="AO2" s="63"/>
      <c r="AP2" s="63"/>
      <c r="AQ2" s="63"/>
      <c r="AR2" s="63"/>
      <c r="AS2" s="63"/>
      <c r="AT2" s="63"/>
      <c r="AU2" s="63"/>
      <c r="AV2" s="67">
        <f ca="1">NOW()</f>
        <v>41887.551206018521</v>
      </c>
    </row>
    <row r="3" spans="1:48" ht="12.75" customHeight="1">
      <c r="A3" s="63"/>
      <c r="B3" s="63"/>
      <c r="C3" s="63"/>
      <c r="D3" s="102"/>
      <c r="E3" s="161"/>
      <c r="F3" s="161"/>
      <c r="G3" s="161"/>
      <c r="H3" s="63"/>
      <c r="I3" s="102" t="str">
        <f>CASHFLOW!I3</f>
        <v>2001 ACTUAL / ESTIMATE</v>
      </c>
      <c r="J3" s="161"/>
      <c r="K3" s="161"/>
      <c r="L3" s="161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102" t="str">
        <f>I3</f>
        <v>2001 ACTUAL / ESTIMATE</v>
      </c>
      <c r="AJ3" s="102"/>
      <c r="AK3" s="102"/>
      <c r="AL3" s="102"/>
      <c r="AM3" s="63"/>
      <c r="AN3" s="63"/>
      <c r="AO3" s="63"/>
      <c r="AP3" s="63"/>
      <c r="AQ3" s="63"/>
      <c r="AR3" s="63"/>
      <c r="AS3" s="63"/>
      <c r="AT3" s="63"/>
      <c r="AU3" s="63"/>
      <c r="AV3" s="63"/>
    </row>
    <row r="4" spans="1:48" ht="12.75" customHeight="1">
      <c r="A4" s="63"/>
      <c r="B4" s="63"/>
      <c r="C4" s="63"/>
      <c r="D4" s="102"/>
      <c r="E4" s="161"/>
      <c r="F4" s="161"/>
      <c r="G4" s="161"/>
      <c r="H4" s="63"/>
      <c r="I4" s="102" t="str">
        <f>CASHFLOW!I4</f>
        <v>(Thousands of Dollars)</v>
      </c>
      <c r="J4" s="161"/>
      <c r="K4" s="161"/>
      <c r="L4" s="161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102" t="str">
        <f>I4</f>
        <v>(Thousands of Dollars)</v>
      </c>
      <c r="AJ4" s="102"/>
      <c r="AK4" s="102"/>
      <c r="AL4" s="102"/>
      <c r="AM4" s="63"/>
      <c r="AN4" s="63"/>
      <c r="AO4" s="63"/>
      <c r="AP4" s="63"/>
      <c r="AQ4" s="63"/>
      <c r="AR4" s="63"/>
      <c r="AS4" s="63"/>
      <c r="AT4" s="63"/>
      <c r="AU4" s="63"/>
      <c r="AV4" s="63"/>
    </row>
    <row r="5" spans="1:48" ht="12.75" customHeight="1">
      <c r="A5" s="63"/>
      <c r="B5" s="63"/>
      <c r="C5" s="63"/>
      <c r="D5" s="71">
        <f>CASHFLOW!D124</f>
        <v>0</v>
      </c>
      <c r="E5" s="71">
        <f>CASHFLOW!E124</f>
        <v>0</v>
      </c>
      <c r="F5" s="71">
        <f>CASHFLOW!F124</f>
        <v>0</v>
      </c>
      <c r="G5" s="71">
        <f>CASHFLOW!G124</f>
        <v>0</v>
      </c>
      <c r="H5" s="71">
        <f>CASHFLOW!H124</f>
        <v>0</v>
      </c>
      <c r="I5" s="71">
        <f>CASHFLOW!I124</f>
        <v>0</v>
      </c>
      <c r="J5" s="71">
        <f>CASHFLOW!J124</f>
        <v>0</v>
      </c>
      <c r="K5" s="71" t="str">
        <f>CASHFLOW!K124</f>
        <v>PRE</v>
      </c>
      <c r="L5" s="71">
        <f>CASHFLOW!L124</f>
        <v>0</v>
      </c>
      <c r="M5" s="71">
        <f>CASHFLOW!M124</f>
        <v>0</v>
      </c>
      <c r="N5" s="71">
        <f>CASHFLOW!N124</f>
        <v>0</v>
      </c>
      <c r="O5" s="71">
        <f>CASHFLOW!O124</f>
        <v>0</v>
      </c>
      <c r="P5" s="71"/>
      <c r="Q5" s="71"/>
      <c r="R5" s="71"/>
      <c r="S5" s="71"/>
      <c r="T5" s="71">
        <f>CASHFLOW!T124</f>
        <v>0</v>
      </c>
      <c r="U5" s="71">
        <f>CASHFLOW!U124</f>
        <v>0</v>
      </c>
      <c r="V5" s="71">
        <f>CASHFLOW!V124</f>
        <v>0</v>
      </c>
      <c r="W5" s="63"/>
      <c r="X5" s="63"/>
      <c r="Y5" s="63"/>
      <c r="Z5" s="63"/>
      <c r="AA5" s="63"/>
      <c r="AB5" s="63"/>
      <c r="AC5" s="63"/>
      <c r="AD5" s="71">
        <f>D5</f>
        <v>0</v>
      </c>
      <c r="AE5" s="71">
        <f t="shared" ref="AE5:AR7" si="0">E5</f>
        <v>0</v>
      </c>
      <c r="AF5" s="71">
        <f t="shared" si="0"/>
        <v>0</v>
      </c>
      <c r="AG5" s="71">
        <f t="shared" si="0"/>
        <v>0</v>
      </c>
      <c r="AH5" s="71">
        <f t="shared" si="0"/>
        <v>0</v>
      </c>
      <c r="AI5" s="71">
        <f t="shared" si="0"/>
        <v>0</v>
      </c>
      <c r="AJ5" s="71">
        <f t="shared" si="0"/>
        <v>0</v>
      </c>
      <c r="AK5" s="71" t="str">
        <f t="shared" si="0"/>
        <v>PRE</v>
      </c>
      <c r="AL5" s="71">
        <f t="shared" si="0"/>
        <v>0</v>
      </c>
      <c r="AM5" s="71">
        <f t="shared" si="0"/>
        <v>0</v>
      </c>
      <c r="AN5" s="71">
        <f t="shared" si="0"/>
        <v>0</v>
      </c>
      <c r="AO5" s="71">
        <f t="shared" si="0"/>
        <v>0</v>
      </c>
      <c r="AP5" s="71">
        <f t="shared" si="0"/>
        <v>0</v>
      </c>
      <c r="AQ5" s="71">
        <f t="shared" si="0"/>
        <v>0</v>
      </c>
      <c r="AR5" s="71">
        <f t="shared" si="0"/>
        <v>0</v>
      </c>
      <c r="AS5" s="63"/>
      <c r="AT5" s="71">
        <f t="shared" ref="AT5:AV7" si="1">T5</f>
        <v>0</v>
      </c>
      <c r="AU5" s="71">
        <f t="shared" si="1"/>
        <v>0</v>
      </c>
      <c r="AV5" s="71">
        <f t="shared" si="1"/>
        <v>0</v>
      </c>
    </row>
    <row r="6" spans="1:48" ht="12.75" customHeight="1">
      <c r="A6" s="63"/>
      <c r="B6" s="63"/>
      <c r="C6" s="63"/>
      <c r="D6" s="71" t="str">
        <f>CASHFLOW!D125</f>
        <v>ACT.</v>
      </c>
      <c r="E6" s="71" t="str">
        <f>CASHFLOW!E125</f>
        <v>ACT.</v>
      </c>
      <c r="F6" s="71" t="str">
        <f>CASHFLOW!F125</f>
        <v>ACT.</v>
      </c>
      <c r="G6" s="71" t="str">
        <f>CASHFLOW!G125</f>
        <v>ACT.</v>
      </c>
      <c r="H6" s="71" t="str">
        <f>CASHFLOW!H125</f>
        <v>ACT.</v>
      </c>
      <c r="I6" s="71" t="str">
        <f>CASHFLOW!I125</f>
        <v>ACT.</v>
      </c>
      <c r="J6" s="71" t="str">
        <f>CASHFLOW!J125</f>
        <v>ACT.</v>
      </c>
      <c r="K6" s="71" t="str">
        <f>CASHFLOW!K125</f>
        <v>ACT.</v>
      </c>
      <c r="L6" s="71" t="str">
        <f>CASHFLOW!L125</f>
        <v>3rd CE</v>
      </c>
      <c r="M6" s="71" t="str">
        <f>CASHFLOW!M125</f>
        <v>3rd CE</v>
      </c>
      <c r="N6" s="71" t="str">
        <f>CASHFLOW!N125</f>
        <v>3rd CE</v>
      </c>
      <c r="O6" s="71" t="str">
        <f>CASHFLOW!O125</f>
        <v>3rd CE</v>
      </c>
      <c r="P6" s="71" t="str">
        <f>CASHFLOW!P125</f>
        <v>TOTAL</v>
      </c>
      <c r="Q6" s="71" t="str">
        <f>CASHFLOW!Q125</f>
        <v>JULY</v>
      </c>
      <c r="R6" s="71" t="str">
        <f>CASHFLOW!R125</f>
        <v>ESTIMATED</v>
      </c>
      <c r="S6" s="71"/>
      <c r="T6" s="71" t="str">
        <f>CASHFLOW!T125</f>
        <v>PLAN</v>
      </c>
      <c r="U6" s="71" t="str">
        <f>CASHFLOW!U125</f>
        <v>SEPT.</v>
      </c>
      <c r="V6" s="71" t="str">
        <f>CASHFLOW!V125</f>
        <v>PLAN</v>
      </c>
      <c r="W6" s="63"/>
      <c r="X6" s="63"/>
      <c r="Y6" s="63"/>
      <c r="Z6" s="63"/>
      <c r="AA6" s="63"/>
      <c r="AB6" s="63"/>
      <c r="AC6" s="63"/>
      <c r="AD6" s="71" t="str">
        <f>D6</f>
        <v>ACT.</v>
      </c>
      <c r="AE6" s="71" t="str">
        <f t="shared" si="0"/>
        <v>ACT.</v>
      </c>
      <c r="AF6" s="71" t="str">
        <f t="shared" si="0"/>
        <v>ACT.</v>
      </c>
      <c r="AG6" s="71" t="str">
        <f t="shared" si="0"/>
        <v>ACT.</v>
      </c>
      <c r="AH6" s="71" t="str">
        <f t="shared" si="0"/>
        <v>ACT.</v>
      </c>
      <c r="AI6" s="71" t="str">
        <f t="shared" si="0"/>
        <v>ACT.</v>
      </c>
      <c r="AJ6" s="71" t="str">
        <f t="shared" si="0"/>
        <v>ACT.</v>
      </c>
      <c r="AK6" s="71" t="str">
        <f t="shared" si="0"/>
        <v>ACT.</v>
      </c>
      <c r="AL6" s="71" t="str">
        <f t="shared" si="0"/>
        <v>3rd CE</v>
      </c>
      <c r="AM6" s="71" t="str">
        <f t="shared" si="0"/>
        <v>3rd CE</v>
      </c>
      <c r="AN6" s="71" t="str">
        <f t="shared" si="0"/>
        <v>3rd CE</v>
      </c>
      <c r="AO6" s="71" t="str">
        <f t="shared" si="0"/>
        <v>3rd CE</v>
      </c>
      <c r="AP6" s="71" t="str">
        <f t="shared" si="0"/>
        <v>TOTAL</v>
      </c>
      <c r="AQ6" s="71" t="str">
        <f t="shared" si="0"/>
        <v>JULY</v>
      </c>
      <c r="AR6" s="71" t="str">
        <f t="shared" si="0"/>
        <v>ESTIMATED</v>
      </c>
      <c r="AS6" s="63"/>
      <c r="AT6" s="71" t="str">
        <f t="shared" si="1"/>
        <v>PLAN</v>
      </c>
      <c r="AU6" s="71" t="str">
        <f t="shared" si="1"/>
        <v>SEPT.</v>
      </c>
      <c r="AV6" s="71" t="str">
        <f t="shared" si="1"/>
        <v>PLAN</v>
      </c>
    </row>
    <row r="7" spans="1:48" ht="12.75" customHeight="1">
      <c r="A7" s="63"/>
      <c r="B7" s="63"/>
      <c r="C7" s="63"/>
      <c r="D7" s="73" t="str">
        <f>CASHFLOW!D126</f>
        <v>JAN</v>
      </c>
      <c r="E7" s="73" t="str">
        <f>CASHFLOW!E126</f>
        <v>FEB</v>
      </c>
      <c r="F7" s="73" t="str">
        <f>CASHFLOW!F126</f>
        <v>MAR</v>
      </c>
      <c r="G7" s="73" t="str">
        <f>CASHFLOW!G126</f>
        <v>APR</v>
      </c>
      <c r="H7" s="73" t="str">
        <f>CASHFLOW!H126</f>
        <v>MAY</v>
      </c>
      <c r="I7" s="73" t="str">
        <f>CASHFLOW!I126</f>
        <v>JUN</v>
      </c>
      <c r="J7" s="73" t="str">
        <f>CASHFLOW!J126</f>
        <v>JUL</v>
      </c>
      <c r="K7" s="73" t="str">
        <f>CASHFLOW!K126</f>
        <v>AUG</v>
      </c>
      <c r="L7" s="73" t="str">
        <f>CASHFLOW!L126</f>
        <v>SEP</v>
      </c>
      <c r="M7" s="73" t="str">
        <f>CASHFLOW!M126</f>
        <v>OCT</v>
      </c>
      <c r="N7" s="73" t="str">
        <f>CASHFLOW!N126</f>
        <v>NOV</v>
      </c>
      <c r="O7" s="73" t="str">
        <f>CASHFLOW!O126</f>
        <v>DEC</v>
      </c>
      <c r="P7" s="73">
        <f>CASHFLOW!P126</f>
        <v>2001</v>
      </c>
      <c r="Q7" s="73" t="str">
        <f>CASHFLOW!Q126</f>
        <v>Y-T-D</v>
      </c>
      <c r="R7" s="73" t="str">
        <f>CASHFLOW!R126</f>
        <v>R.M.</v>
      </c>
      <c r="S7" s="73"/>
      <c r="T7" s="73">
        <f>CASHFLOW!T126</f>
        <v>2001</v>
      </c>
      <c r="U7" s="73" t="str">
        <f>CASHFLOW!U126</f>
        <v>Y-T-D</v>
      </c>
      <c r="V7" s="73" t="str">
        <f>CASHFLOW!V126</f>
        <v>R.M.</v>
      </c>
      <c r="W7" s="63"/>
      <c r="X7" s="63"/>
      <c r="Y7" s="63"/>
      <c r="Z7" s="63"/>
      <c r="AA7" s="63"/>
      <c r="AB7" s="63"/>
      <c r="AC7" s="63"/>
      <c r="AD7" s="73" t="str">
        <f>D7</f>
        <v>JAN</v>
      </c>
      <c r="AE7" s="73" t="str">
        <f t="shared" si="0"/>
        <v>FEB</v>
      </c>
      <c r="AF7" s="73" t="str">
        <f t="shared" si="0"/>
        <v>MAR</v>
      </c>
      <c r="AG7" s="73" t="str">
        <f t="shared" si="0"/>
        <v>APR</v>
      </c>
      <c r="AH7" s="73" t="str">
        <f t="shared" si="0"/>
        <v>MAY</v>
      </c>
      <c r="AI7" s="73" t="str">
        <f t="shared" si="0"/>
        <v>JUN</v>
      </c>
      <c r="AJ7" s="73" t="str">
        <f t="shared" si="0"/>
        <v>JUL</v>
      </c>
      <c r="AK7" s="73" t="str">
        <f t="shared" si="0"/>
        <v>AUG</v>
      </c>
      <c r="AL7" s="73" t="str">
        <f t="shared" si="0"/>
        <v>SEP</v>
      </c>
      <c r="AM7" s="73" t="str">
        <f t="shared" si="0"/>
        <v>OCT</v>
      </c>
      <c r="AN7" s="73" t="str">
        <f t="shared" si="0"/>
        <v>NOV</v>
      </c>
      <c r="AO7" s="73" t="str">
        <f t="shared" si="0"/>
        <v>DEC</v>
      </c>
      <c r="AP7" s="73">
        <f t="shared" si="0"/>
        <v>2001</v>
      </c>
      <c r="AQ7" s="73" t="str">
        <f t="shared" si="0"/>
        <v>Y-T-D</v>
      </c>
      <c r="AR7" s="73" t="str">
        <f t="shared" si="0"/>
        <v>R.M.</v>
      </c>
      <c r="AS7" s="63"/>
      <c r="AT7" s="73">
        <f t="shared" si="1"/>
        <v>2001</v>
      </c>
      <c r="AU7" s="73" t="str">
        <f t="shared" si="1"/>
        <v>Y-T-D</v>
      </c>
      <c r="AV7" s="73" t="str">
        <f t="shared" si="1"/>
        <v>R.M.</v>
      </c>
    </row>
    <row r="8" spans="1:48" ht="12.75" customHeight="1">
      <c r="A8" s="61" t="str">
        <f>CASHFLOW!A127</f>
        <v>CASH FLOW FROM OPERATING ACTIVITIES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0" t="str">
        <f>A8</f>
        <v>CASH FLOW FROM OPERATING ACTIVITIES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</row>
    <row r="9" spans="1:48" ht="12.75" customHeight="1">
      <c r="A9" s="219" t="str">
        <f>CASHFLOW!A128</f>
        <v xml:space="preserve">   Net Income </v>
      </c>
      <c r="B9" s="63"/>
      <c r="C9" s="63"/>
      <c r="D9" s="75">
        <f>[1]IncomeState!C157</f>
        <v>313</v>
      </c>
      <c r="E9" s="75">
        <f>[1]IncomeState!D157</f>
        <v>186</v>
      </c>
      <c r="F9" s="75">
        <f>[1]IncomeState!E157</f>
        <v>174</v>
      </c>
      <c r="G9" s="75">
        <f>[1]IncomeState!F157</f>
        <v>807</v>
      </c>
      <c r="H9" s="75">
        <f>[1]IncomeState!G157</f>
        <v>179</v>
      </c>
      <c r="I9" s="75">
        <f>[1]IncomeState!H157</f>
        <v>256</v>
      </c>
      <c r="J9" s="75">
        <f>[1]IncomeState!I157</f>
        <v>188</v>
      </c>
      <c r="K9" s="75">
        <f>[1]IncomeState!J157</f>
        <v>149</v>
      </c>
      <c r="L9" s="75">
        <f>[1]IncomeState!K157</f>
        <v>183</v>
      </c>
      <c r="M9" s="75">
        <f>[1]IncomeState!L157</f>
        <v>187</v>
      </c>
      <c r="N9" s="75">
        <f>[1]IncomeState!M157</f>
        <v>197</v>
      </c>
      <c r="O9" s="75">
        <f>[1]IncomeState!N157</f>
        <v>-8</v>
      </c>
      <c r="P9" s="75">
        <f>SUM(D9:O9)</f>
        <v>2811</v>
      </c>
      <c r="Q9" s="76">
        <f>SUM(D9:J9)</f>
        <v>2103</v>
      </c>
      <c r="R9" s="75">
        <f>P9-Q9</f>
        <v>708</v>
      </c>
      <c r="S9" s="75"/>
      <c r="T9" s="221">
        <v>0</v>
      </c>
      <c r="U9" s="221">
        <v>0</v>
      </c>
      <c r="V9" s="108">
        <f>T9-U9</f>
        <v>0</v>
      </c>
      <c r="W9" s="63"/>
      <c r="X9" s="63"/>
      <c r="Y9" s="63"/>
      <c r="Z9" s="63"/>
      <c r="AA9" s="63" t="str">
        <f>A9</f>
        <v xml:space="preserve">   Net Income </v>
      </c>
      <c r="AB9" s="63"/>
      <c r="AC9" s="63"/>
      <c r="AD9" s="108">
        <f>CASHFLOW!D128-'CF-Partnership, NNG &amp; 53K'!D9</f>
        <v>19321</v>
      </c>
      <c r="AE9" s="108">
        <f>CASHFLOW!E128-'CF-Partnership, NNG &amp; 53K'!E9</f>
        <v>18599</v>
      </c>
      <c r="AF9" s="108">
        <f>CASHFLOW!F128-'CF-Partnership, NNG &amp; 53K'!F9</f>
        <v>17521</v>
      </c>
      <c r="AG9" s="108">
        <f>CASHFLOW!G128-'CF-Partnership, NNG &amp; 53K'!G9</f>
        <v>2272</v>
      </c>
      <c r="AH9" s="108">
        <f>CASHFLOW!H128-'CF-Partnership, NNG &amp; 53K'!H9</f>
        <v>813</v>
      </c>
      <c r="AI9" s="108">
        <f>CASHFLOW!I128-'CF-Partnership, NNG &amp; 53K'!I9</f>
        <v>2710</v>
      </c>
      <c r="AJ9" s="108">
        <f>CASHFLOW!J128-'CF-Partnership, NNG &amp; 53K'!J9</f>
        <v>1360</v>
      </c>
      <c r="AK9" s="108">
        <f>CASHFLOW!K128-'CF-Partnership, NNG &amp; 53K'!K9</f>
        <v>2325</v>
      </c>
      <c r="AL9" s="108">
        <f>CASHFLOW!L128-'CF-Partnership, NNG &amp; 53K'!L9</f>
        <v>463</v>
      </c>
      <c r="AM9" s="108">
        <f>CASHFLOW!M128-'CF-Partnership, NNG &amp; 53K'!M9</f>
        <v>-1372</v>
      </c>
      <c r="AN9" s="108">
        <f>CASHFLOW!N128-'CF-Partnership, NNG &amp; 53K'!N9</f>
        <v>16154</v>
      </c>
      <c r="AO9" s="108">
        <f>CASHFLOW!O128-'CF-Partnership, NNG &amp; 53K'!O9</f>
        <v>16764</v>
      </c>
      <c r="AP9" s="75">
        <f>SUM(AD9:AO9)</f>
        <v>96930</v>
      </c>
      <c r="AQ9" s="76">
        <f>SUM(AD9:AJ9)</f>
        <v>62596</v>
      </c>
      <c r="AR9" s="75">
        <f>AP9-AQ9</f>
        <v>34334</v>
      </c>
      <c r="AS9" s="75"/>
      <c r="AT9" s="221">
        <v>0</v>
      </c>
      <c r="AU9" s="221">
        <v>0</v>
      </c>
      <c r="AV9" s="108">
        <f>AT9-AU9</f>
        <v>0</v>
      </c>
    </row>
    <row r="10" spans="1:48" ht="3.95" customHeight="1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</row>
    <row r="11" spans="1:48" ht="12.75" customHeight="1">
      <c r="A11" s="219" t="str">
        <f>CASHFLOW!A129</f>
        <v xml:space="preserve">   Items not affecting Cash: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 t="str">
        <f t="shared" ref="AA11:AA23" si="2">A11</f>
        <v xml:space="preserve">   Items not affecting Cash:</v>
      </c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</row>
    <row r="12" spans="1:48" ht="12.75" customHeight="1">
      <c r="A12" s="219" t="str">
        <f>CASHFLOW!A130</f>
        <v xml:space="preserve">      Depreciation and Amortization</v>
      </c>
      <c r="B12" s="63"/>
      <c r="C12" s="63"/>
      <c r="D12" s="75">
        <f>[1]IncomeState!C124</f>
        <v>28</v>
      </c>
      <c r="E12" s="75">
        <f>[1]IncomeState!D124</f>
        <v>28</v>
      </c>
      <c r="F12" s="75">
        <f>[1]IncomeState!E124</f>
        <v>29</v>
      </c>
      <c r="G12" s="75">
        <f>[1]IncomeState!F124</f>
        <v>28</v>
      </c>
      <c r="H12" s="75">
        <f>[1]IncomeState!G124</f>
        <v>28</v>
      </c>
      <c r="I12" s="75">
        <f>[1]IncomeState!H124</f>
        <v>28</v>
      </c>
      <c r="J12" s="75">
        <f>[1]IncomeState!I124</f>
        <v>29</v>
      </c>
      <c r="K12" s="75">
        <f>[1]IncomeState!J124</f>
        <v>28</v>
      </c>
      <c r="L12" s="75">
        <f>[1]IncomeState!K124</f>
        <v>28</v>
      </c>
      <c r="M12" s="75">
        <f>[1]IncomeState!L124</f>
        <v>28</v>
      </c>
      <c r="N12" s="75">
        <f>[1]IncomeState!M124</f>
        <v>28</v>
      </c>
      <c r="O12" s="75">
        <f>[1]IncomeState!N124</f>
        <v>28</v>
      </c>
      <c r="P12" s="75">
        <f>SUM(D12:O12)</f>
        <v>338</v>
      </c>
      <c r="Q12" s="76">
        <f>SUM(D12:J12)</f>
        <v>198</v>
      </c>
      <c r="R12" s="75">
        <f>P12-Q12</f>
        <v>140</v>
      </c>
      <c r="S12" s="75"/>
      <c r="T12" s="221">
        <v>0</v>
      </c>
      <c r="U12" s="221">
        <v>0</v>
      </c>
      <c r="V12" s="108">
        <f>T12-U12</f>
        <v>0</v>
      </c>
      <c r="W12" s="63"/>
      <c r="X12" s="63"/>
      <c r="Y12" s="63"/>
      <c r="Z12" s="63"/>
      <c r="AA12" s="63" t="str">
        <f t="shared" si="2"/>
        <v xml:space="preserve">      Depreciation and Amortization</v>
      </c>
      <c r="AB12" s="63"/>
      <c r="AC12" s="63"/>
      <c r="AD12" s="108">
        <f>CASHFLOW!D130-'CF-Partnership, NNG &amp; 53K'!D12</f>
        <v>3813</v>
      </c>
      <c r="AE12" s="108">
        <f>CASHFLOW!E130-'CF-Partnership, NNG &amp; 53K'!E12</f>
        <v>3825</v>
      </c>
      <c r="AF12" s="108">
        <f>CASHFLOW!F130-'CF-Partnership, NNG &amp; 53K'!F12</f>
        <v>3871</v>
      </c>
      <c r="AG12" s="108">
        <f>CASHFLOW!G130-'CF-Partnership, NNG &amp; 53K'!G12</f>
        <v>3783</v>
      </c>
      <c r="AH12" s="108">
        <f>CASHFLOW!H130-'CF-Partnership, NNG &amp; 53K'!H12</f>
        <v>3727</v>
      </c>
      <c r="AI12" s="108">
        <f>CASHFLOW!I130-'CF-Partnership, NNG &amp; 53K'!I12</f>
        <v>3971</v>
      </c>
      <c r="AJ12" s="108">
        <f>CASHFLOW!J130-'CF-Partnership, NNG &amp; 53K'!J12</f>
        <v>3822</v>
      </c>
      <c r="AK12" s="108">
        <f>CASHFLOW!K130-'CF-Partnership, NNG &amp; 53K'!K12</f>
        <v>3827</v>
      </c>
      <c r="AL12" s="108">
        <f>CASHFLOW!L130-'CF-Partnership, NNG &amp; 53K'!L12</f>
        <v>3872</v>
      </c>
      <c r="AM12" s="108">
        <f>CASHFLOW!M130-'CF-Partnership, NNG &amp; 53K'!M12</f>
        <v>5172</v>
      </c>
      <c r="AN12" s="108">
        <f>CASHFLOW!N130-'CF-Partnership, NNG &amp; 53K'!N12</f>
        <v>3922</v>
      </c>
      <c r="AO12" s="108">
        <f>CASHFLOW!O130-'CF-Partnership, NNG &amp; 53K'!O12</f>
        <v>3972</v>
      </c>
      <c r="AP12" s="75">
        <f>SUM(AD12:AO12)</f>
        <v>47577</v>
      </c>
      <c r="AQ12" s="76">
        <f>SUM(AD12:AJ12)</f>
        <v>26812</v>
      </c>
      <c r="AR12" s="75">
        <f>AP12-AQ12</f>
        <v>20765</v>
      </c>
      <c r="AS12" s="75"/>
      <c r="AT12" s="221">
        <v>0</v>
      </c>
      <c r="AU12" s="221">
        <v>0</v>
      </c>
      <c r="AV12" s="108">
        <f>AT12-AU12</f>
        <v>0</v>
      </c>
    </row>
    <row r="13" spans="1:48" ht="12.75" customHeight="1">
      <c r="A13" s="219" t="str">
        <f>CASHFLOW!A131</f>
        <v xml:space="preserve">      Deferred Income Taxes</v>
      </c>
      <c r="B13" s="63"/>
      <c r="C13" s="63"/>
      <c r="D13" s="108">
        <f>[1]IncomeState!C153</f>
        <v>-84</v>
      </c>
      <c r="E13" s="108">
        <f>[1]IncomeState!D153</f>
        <v>-84</v>
      </c>
      <c r="F13" s="108">
        <f>[1]IncomeState!E153</f>
        <v>-85</v>
      </c>
      <c r="G13" s="108">
        <f>[1]IncomeState!F153</f>
        <v>-85</v>
      </c>
      <c r="H13" s="108">
        <f>[1]IncomeState!G153</f>
        <v>-84</v>
      </c>
      <c r="I13" s="108">
        <f>[1]IncomeState!H153</f>
        <v>-85</v>
      </c>
      <c r="J13" s="108">
        <f>[1]IncomeState!I153</f>
        <v>-84</v>
      </c>
      <c r="K13" s="108">
        <f>[1]IncomeState!J153</f>
        <v>-85</v>
      </c>
      <c r="L13" s="108">
        <f>[1]IncomeState!K153</f>
        <v>-84</v>
      </c>
      <c r="M13" s="108">
        <f>[1]IncomeState!L153</f>
        <v>-128</v>
      </c>
      <c r="N13" s="108">
        <f>[1]IncomeState!M153</f>
        <v>-135</v>
      </c>
      <c r="O13" s="108">
        <f>[1]IncomeState!N153</f>
        <v>-6</v>
      </c>
      <c r="P13" s="75">
        <f>SUM(D13:O13)</f>
        <v>-1029</v>
      </c>
      <c r="Q13" s="76">
        <f>SUM(D13:J13)</f>
        <v>-591</v>
      </c>
      <c r="R13" s="75">
        <f>P13-Q13</f>
        <v>-438</v>
      </c>
      <c r="S13" s="75"/>
      <c r="T13" s="221">
        <v>0</v>
      </c>
      <c r="U13" s="221">
        <v>0</v>
      </c>
      <c r="V13" s="108">
        <f>T13-U13</f>
        <v>0</v>
      </c>
      <c r="W13" s="63"/>
      <c r="X13" s="63"/>
      <c r="Y13" s="63"/>
      <c r="Z13" s="63"/>
      <c r="AA13" s="63" t="str">
        <f t="shared" si="2"/>
        <v xml:space="preserve">      Deferred Income Taxes</v>
      </c>
      <c r="AB13" s="63"/>
      <c r="AC13" s="63"/>
      <c r="AD13" s="108">
        <f>CASHFLOW!D131-'CF-Partnership, NNG &amp; 53K'!D13</f>
        <v>3346</v>
      </c>
      <c r="AE13" s="108">
        <f>CASHFLOW!E131-'CF-Partnership, NNG &amp; 53K'!E13</f>
        <v>234</v>
      </c>
      <c r="AF13" s="108">
        <f>CASHFLOW!F131-'CF-Partnership, NNG &amp; 53K'!F13</f>
        <v>-1062</v>
      </c>
      <c r="AG13" s="108">
        <f>CASHFLOW!G131-'CF-Partnership, NNG &amp; 53K'!G13</f>
        <v>23426</v>
      </c>
      <c r="AH13" s="108">
        <f>CASHFLOW!H131-'CF-Partnership, NNG &amp; 53K'!H13</f>
        <v>1659</v>
      </c>
      <c r="AI13" s="108">
        <f>CASHFLOW!I131-'CF-Partnership, NNG &amp; 53K'!I13</f>
        <v>-2898</v>
      </c>
      <c r="AJ13" s="108">
        <f>CASHFLOW!J131-'CF-Partnership, NNG &amp; 53K'!J13</f>
        <v>944</v>
      </c>
      <c r="AK13" s="108">
        <f>CASHFLOW!K131-'CF-Partnership, NNG &amp; 53K'!K13</f>
        <v>3424</v>
      </c>
      <c r="AL13" s="108">
        <f>CASHFLOW!L131-'CF-Partnership, NNG &amp; 53K'!L13</f>
        <v>2291</v>
      </c>
      <c r="AM13" s="108">
        <f>CASHFLOW!M131-'CF-Partnership, NNG &amp; 53K'!M13</f>
        <v>-11686</v>
      </c>
      <c r="AN13" s="108">
        <f>CASHFLOW!N131-'CF-Partnership, NNG &amp; 53K'!N13</f>
        <v>-1186</v>
      </c>
      <c r="AO13" s="108">
        <f>CASHFLOW!O131-'CF-Partnership, NNG &amp; 53K'!O13</f>
        <v>665</v>
      </c>
      <c r="AP13" s="75">
        <f>SUM(AD13:AO13)</f>
        <v>19157</v>
      </c>
      <c r="AQ13" s="76">
        <f>SUM(AD13:AJ13)</f>
        <v>25649</v>
      </c>
      <c r="AR13" s="75">
        <f>AP13-AQ13</f>
        <v>-6492</v>
      </c>
      <c r="AS13" s="75"/>
      <c r="AT13" s="221">
        <v>0</v>
      </c>
      <c r="AU13" s="221">
        <v>0</v>
      </c>
      <c r="AV13" s="108">
        <f>AT13-AU13</f>
        <v>0</v>
      </c>
    </row>
    <row r="14" spans="1:48" ht="12.75" customHeight="1">
      <c r="A14" s="219" t="str">
        <f>CASHFLOW!A132</f>
        <v xml:space="preserve">      Net (Gain) / Loss on Sale of Assets</v>
      </c>
      <c r="B14" s="63"/>
      <c r="C14" s="63"/>
      <c r="D14" s="222">
        <v>0</v>
      </c>
      <c r="E14" s="222">
        <v>0</v>
      </c>
      <c r="F14" s="222">
        <v>0</v>
      </c>
      <c r="G14" s="222">
        <v>0</v>
      </c>
      <c r="H14" s="222">
        <v>0</v>
      </c>
      <c r="I14" s="222">
        <v>0</v>
      </c>
      <c r="J14" s="222">
        <v>0</v>
      </c>
      <c r="K14" s="222">
        <v>0</v>
      </c>
      <c r="L14" s="222">
        <v>0</v>
      </c>
      <c r="M14" s="222">
        <v>0</v>
      </c>
      <c r="N14" s="222">
        <v>0</v>
      </c>
      <c r="O14" s="222">
        <v>0</v>
      </c>
      <c r="P14" s="80">
        <f>SUM(D14:O14)</f>
        <v>0</v>
      </c>
      <c r="Q14" s="99">
        <f>SUM(D14:J14)</f>
        <v>0</v>
      </c>
      <c r="R14" s="80">
        <f>P14-Q14</f>
        <v>0</v>
      </c>
      <c r="S14" s="80"/>
      <c r="T14" s="222">
        <v>0</v>
      </c>
      <c r="U14" s="222">
        <v>0</v>
      </c>
      <c r="V14" s="109">
        <f>T14-U14</f>
        <v>0</v>
      </c>
      <c r="W14" s="63"/>
      <c r="X14" s="63"/>
      <c r="Y14" s="63"/>
      <c r="Z14" s="63"/>
      <c r="AA14" s="63" t="str">
        <f t="shared" si="2"/>
        <v xml:space="preserve">      Net (Gain) / Loss on Sale of Assets</v>
      </c>
      <c r="AB14" s="63"/>
      <c r="AC14" s="63"/>
      <c r="AD14" s="109">
        <f>CASHFLOW!D132-'CF-Partnership, NNG &amp; 53K'!D14</f>
        <v>267</v>
      </c>
      <c r="AE14" s="109">
        <f>CASHFLOW!E132-'CF-Partnership, NNG &amp; 53K'!E14</f>
        <v>-259</v>
      </c>
      <c r="AF14" s="109">
        <f>CASHFLOW!F132-'CF-Partnership, NNG &amp; 53K'!F14</f>
        <v>-8</v>
      </c>
      <c r="AG14" s="109">
        <f>CASHFLOW!G132-'CF-Partnership, NNG &amp; 53K'!G14</f>
        <v>0</v>
      </c>
      <c r="AH14" s="109">
        <f>CASHFLOW!H132-'CF-Partnership, NNG &amp; 53K'!H14</f>
        <v>0</v>
      </c>
      <c r="AI14" s="109">
        <f>CASHFLOW!I132-'CF-Partnership, NNG &amp; 53K'!I14</f>
        <v>-553</v>
      </c>
      <c r="AJ14" s="109">
        <f>CASHFLOW!J132-'CF-Partnership, NNG &amp; 53K'!J14</f>
        <v>0</v>
      </c>
      <c r="AK14" s="109">
        <f>CASHFLOW!K132-'CF-Partnership, NNG &amp; 53K'!K14</f>
        <v>0</v>
      </c>
      <c r="AL14" s="109">
        <f>CASHFLOW!L132-'CF-Partnership, NNG &amp; 53K'!L14</f>
        <v>0</v>
      </c>
      <c r="AM14" s="109">
        <f>CASHFLOW!M132-'CF-Partnership, NNG &amp; 53K'!M14</f>
        <v>0</v>
      </c>
      <c r="AN14" s="109">
        <f>CASHFLOW!N132-'CF-Partnership, NNG &amp; 53K'!N14</f>
        <v>0</v>
      </c>
      <c r="AO14" s="109">
        <f>CASHFLOW!O132-'CF-Partnership, NNG &amp; 53K'!O14</f>
        <v>-2300</v>
      </c>
      <c r="AP14" s="80">
        <f>SUM(AD14:AO14)</f>
        <v>-2853</v>
      </c>
      <c r="AQ14" s="99">
        <f>SUM(AD14:AJ14)</f>
        <v>-553</v>
      </c>
      <c r="AR14" s="80">
        <f>AP14-AQ14</f>
        <v>-2300</v>
      </c>
      <c r="AS14" s="80"/>
      <c r="AT14" s="222">
        <v>0</v>
      </c>
      <c r="AU14" s="222">
        <v>0</v>
      </c>
      <c r="AV14" s="109">
        <f>AT14-AU14</f>
        <v>0</v>
      </c>
    </row>
    <row r="15" spans="1:48" ht="3.95" customHeight="1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</row>
    <row r="16" spans="1:48" ht="12.75" customHeight="1">
      <c r="A16" s="219" t="str">
        <f>CASHFLOW!A134</f>
        <v xml:space="preserve">            Total Cash Flow From Operations</v>
      </c>
      <c r="B16" s="63"/>
      <c r="C16" s="63"/>
      <c r="D16" s="108">
        <f>SUM(D9:D14)</f>
        <v>257</v>
      </c>
      <c r="E16" s="108">
        <f t="shared" ref="E16:V16" si="3">SUM(E9:E14)</f>
        <v>130</v>
      </c>
      <c r="F16" s="108">
        <f t="shared" si="3"/>
        <v>118</v>
      </c>
      <c r="G16" s="108">
        <f t="shared" si="3"/>
        <v>750</v>
      </c>
      <c r="H16" s="108">
        <f t="shared" si="3"/>
        <v>123</v>
      </c>
      <c r="I16" s="108">
        <f t="shared" si="3"/>
        <v>199</v>
      </c>
      <c r="J16" s="108">
        <f t="shared" si="3"/>
        <v>133</v>
      </c>
      <c r="K16" s="108">
        <f t="shared" si="3"/>
        <v>92</v>
      </c>
      <c r="L16" s="108">
        <f t="shared" si="3"/>
        <v>127</v>
      </c>
      <c r="M16" s="108">
        <f t="shared" si="3"/>
        <v>87</v>
      </c>
      <c r="N16" s="108">
        <f t="shared" si="3"/>
        <v>90</v>
      </c>
      <c r="O16" s="108">
        <f t="shared" si="3"/>
        <v>14</v>
      </c>
      <c r="P16" s="108">
        <f t="shared" si="3"/>
        <v>2120</v>
      </c>
      <c r="Q16" s="108">
        <f t="shared" si="3"/>
        <v>1710</v>
      </c>
      <c r="R16" s="108">
        <f t="shared" si="3"/>
        <v>410</v>
      </c>
      <c r="S16" s="108"/>
      <c r="T16" s="108">
        <f t="shared" si="3"/>
        <v>0</v>
      </c>
      <c r="U16" s="108">
        <f t="shared" si="3"/>
        <v>0</v>
      </c>
      <c r="V16" s="108">
        <f t="shared" si="3"/>
        <v>0</v>
      </c>
      <c r="W16" s="63"/>
      <c r="X16" s="63"/>
      <c r="Y16" s="63"/>
      <c r="Z16" s="63"/>
      <c r="AA16" s="63" t="str">
        <f t="shared" si="2"/>
        <v xml:space="preserve">            Total Cash Flow From Operations</v>
      </c>
      <c r="AB16" s="63"/>
      <c r="AC16" s="63"/>
      <c r="AD16" s="108">
        <f>SUM(AD9:AD14)</f>
        <v>26747</v>
      </c>
      <c r="AE16" s="108">
        <f t="shared" ref="AE16:AV16" si="4">SUM(AE9:AE14)</f>
        <v>22399</v>
      </c>
      <c r="AF16" s="108">
        <f t="shared" si="4"/>
        <v>20322</v>
      </c>
      <c r="AG16" s="108">
        <f t="shared" si="4"/>
        <v>29481</v>
      </c>
      <c r="AH16" s="108">
        <f t="shared" si="4"/>
        <v>6199</v>
      </c>
      <c r="AI16" s="108">
        <f t="shared" si="4"/>
        <v>3230</v>
      </c>
      <c r="AJ16" s="108">
        <f t="shared" si="4"/>
        <v>6126</v>
      </c>
      <c r="AK16" s="108">
        <f t="shared" si="4"/>
        <v>9576</v>
      </c>
      <c r="AL16" s="108">
        <f t="shared" si="4"/>
        <v>6626</v>
      </c>
      <c r="AM16" s="108">
        <f t="shared" si="4"/>
        <v>-7886</v>
      </c>
      <c r="AN16" s="108">
        <f t="shared" si="4"/>
        <v>18890</v>
      </c>
      <c r="AO16" s="108">
        <f t="shared" si="4"/>
        <v>19101</v>
      </c>
      <c r="AP16" s="108">
        <f t="shared" si="4"/>
        <v>160811</v>
      </c>
      <c r="AQ16" s="108">
        <f t="shared" si="4"/>
        <v>114504</v>
      </c>
      <c r="AR16" s="108">
        <f t="shared" si="4"/>
        <v>46307</v>
      </c>
      <c r="AS16" s="108"/>
      <c r="AT16" s="108">
        <f t="shared" si="4"/>
        <v>0</v>
      </c>
      <c r="AU16" s="108">
        <f t="shared" si="4"/>
        <v>0</v>
      </c>
      <c r="AV16" s="108">
        <f t="shared" si="4"/>
        <v>0</v>
      </c>
    </row>
    <row r="17" spans="1:48" ht="3.95" customHeight="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</row>
    <row r="18" spans="1:48" ht="12.75" customHeight="1">
      <c r="A18" s="219" t="str">
        <f>CASHFLOW!A136</f>
        <v xml:space="preserve">   Deferred Severance / Relocation Charges</v>
      </c>
      <c r="B18" s="63"/>
      <c r="C18" s="63"/>
      <c r="D18" s="221">
        <v>0</v>
      </c>
      <c r="E18" s="221">
        <v>0</v>
      </c>
      <c r="F18" s="221">
        <v>0</v>
      </c>
      <c r="G18" s="221">
        <v>0</v>
      </c>
      <c r="H18" s="221">
        <v>0</v>
      </c>
      <c r="I18" s="221">
        <v>0</v>
      </c>
      <c r="J18" s="221">
        <v>0</v>
      </c>
      <c r="K18" s="221">
        <v>0</v>
      </c>
      <c r="L18" s="221">
        <v>0</v>
      </c>
      <c r="M18" s="221">
        <v>0</v>
      </c>
      <c r="N18" s="221">
        <v>0</v>
      </c>
      <c r="O18" s="221">
        <v>0</v>
      </c>
      <c r="P18" s="75">
        <f t="shared" ref="P18:P23" si="5">SUM(D18:O18)</f>
        <v>0</v>
      </c>
      <c r="Q18" s="76">
        <f t="shared" ref="Q18:Q23" si="6">SUM(D18:J18)</f>
        <v>0</v>
      </c>
      <c r="R18" s="75">
        <f t="shared" ref="R18:R23" si="7">P18-Q18</f>
        <v>0</v>
      </c>
      <c r="S18" s="75"/>
      <c r="T18" s="221">
        <v>0</v>
      </c>
      <c r="U18" s="221">
        <v>0</v>
      </c>
      <c r="V18" s="108">
        <f t="shared" ref="V18:V23" si="8">T18-U18</f>
        <v>0</v>
      </c>
      <c r="W18" s="63"/>
      <c r="X18" s="63"/>
      <c r="Y18" s="63"/>
      <c r="Z18" s="63"/>
      <c r="AA18" s="63" t="str">
        <f t="shared" si="2"/>
        <v xml:space="preserve">   Deferred Severance / Relocation Charges</v>
      </c>
      <c r="AB18" s="63"/>
      <c r="AC18" s="63"/>
      <c r="AD18" s="108">
        <f>CASHFLOW!D136-'CF-Partnership, NNG &amp; 53K'!D18</f>
        <v>0</v>
      </c>
      <c r="AE18" s="108">
        <f>CASHFLOW!E136-'CF-Partnership, NNG &amp; 53K'!E18</f>
        <v>0</v>
      </c>
      <c r="AF18" s="108">
        <f>CASHFLOW!F136-'CF-Partnership, NNG &amp; 53K'!F18</f>
        <v>0</v>
      </c>
      <c r="AG18" s="108">
        <f>CASHFLOW!G136-'CF-Partnership, NNG &amp; 53K'!G18</f>
        <v>0</v>
      </c>
      <c r="AH18" s="108">
        <f>CASHFLOW!H136-'CF-Partnership, NNG &amp; 53K'!H18</f>
        <v>0</v>
      </c>
      <c r="AI18" s="108">
        <f>CASHFLOW!I136-'CF-Partnership, NNG &amp; 53K'!I18</f>
        <v>0</v>
      </c>
      <c r="AJ18" s="108">
        <f>CASHFLOW!J136-'CF-Partnership, NNG &amp; 53K'!J18</f>
        <v>0</v>
      </c>
      <c r="AK18" s="108">
        <f>CASHFLOW!K136-'CF-Partnership, NNG &amp; 53K'!K18</f>
        <v>0</v>
      </c>
      <c r="AL18" s="108">
        <f>CASHFLOW!L136-'CF-Partnership, NNG &amp; 53K'!L18</f>
        <v>0</v>
      </c>
      <c r="AM18" s="108">
        <f>CASHFLOW!M136-'CF-Partnership, NNG &amp; 53K'!M18</f>
        <v>0</v>
      </c>
      <c r="AN18" s="108">
        <f>CASHFLOW!N136-'CF-Partnership, NNG &amp; 53K'!N18</f>
        <v>0</v>
      </c>
      <c r="AO18" s="108">
        <f>CASHFLOW!O136-'CF-Partnership, NNG &amp; 53K'!O18</f>
        <v>0</v>
      </c>
      <c r="AP18" s="75">
        <f t="shared" ref="AP18:AP23" si="9">SUM(AD18:AO18)</f>
        <v>0</v>
      </c>
      <c r="AQ18" s="76">
        <f t="shared" ref="AQ18:AQ23" si="10">SUM(AD18:AJ18)</f>
        <v>0</v>
      </c>
      <c r="AR18" s="75">
        <f t="shared" ref="AR18:AR23" si="11">AP18-AQ18</f>
        <v>0</v>
      </c>
      <c r="AS18" s="75"/>
      <c r="AT18" s="221">
        <v>0</v>
      </c>
      <c r="AU18" s="221">
        <v>0</v>
      </c>
      <c r="AV18" s="108">
        <f t="shared" ref="AV18:AV23" si="12">AT18-AU18</f>
        <v>0</v>
      </c>
    </row>
    <row r="19" spans="1:48" ht="12.75" customHeight="1">
      <c r="A19" s="219" t="str">
        <f>CASHFLOW!A137</f>
        <v xml:space="preserve">   Other Regulatory Assets / Liabilities</v>
      </c>
      <c r="B19" s="63"/>
      <c r="C19" s="63"/>
      <c r="D19" s="221">
        <v>0</v>
      </c>
      <c r="E19" s="221">
        <v>0</v>
      </c>
      <c r="F19" s="221">
        <v>0</v>
      </c>
      <c r="G19" s="221">
        <v>0</v>
      </c>
      <c r="H19" s="221">
        <v>0</v>
      </c>
      <c r="I19" s="221">
        <v>0</v>
      </c>
      <c r="J19" s="221">
        <v>0</v>
      </c>
      <c r="K19" s="221">
        <v>0</v>
      </c>
      <c r="L19" s="221">
        <v>0</v>
      </c>
      <c r="M19" s="221">
        <v>0</v>
      </c>
      <c r="N19" s="221">
        <v>0</v>
      </c>
      <c r="O19" s="221">
        <v>0</v>
      </c>
      <c r="P19" s="75">
        <f t="shared" si="5"/>
        <v>0</v>
      </c>
      <c r="Q19" s="76">
        <f t="shared" si="6"/>
        <v>0</v>
      </c>
      <c r="R19" s="75">
        <f t="shared" si="7"/>
        <v>0</v>
      </c>
      <c r="S19" s="75"/>
      <c r="T19" s="221">
        <v>0</v>
      </c>
      <c r="U19" s="221">
        <v>0</v>
      </c>
      <c r="V19" s="108">
        <f t="shared" si="8"/>
        <v>0</v>
      </c>
      <c r="W19" s="63"/>
      <c r="X19" s="63"/>
      <c r="Y19" s="63"/>
      <c r="Z19" s="63"/>
      <c r="AA19" s="63" t="str">
        <f t="shared" si="2"/>
        <v xml:space="preserve">   Other Regulatory Assets / Liabilities</v>
      </c>
      <c r="AB19" s="63"/>
      <c r="AC19" s="63"/>
      <c r="AD19" s="108">
        <f>CASHFLOW!D137-'CF-Partnership, NNG &amp; 53K'!D19</f>
        <v>-2772</v>
      </c>
      <c r="AE19" s="108">
        <f>CASHFLOW!E137-'CF-Partnership, NNG &amp; 53K'!E19</f>
        <v>3495</v>
      </c>
      <c r="AF19" s="108">
        <f>CASHFLOW!F137-'CF-Partnership, NNG &amp; 53K'!F19</f>
        <v>346</v>
      </c>
      <c r="AG19" s="108">
        <f>CASHFLOW!G137-'CF-Partnership, NNG &amp; 53K'!G19</f>
        <v>1502</v>
      </c>
      <c r="AH19" s="108">
        <f>CASHFLOW!H137-'CF-Partnership, NNG &amp; 53K'!H19</f>
        <v>4305</v>
      </c>
      <c r="AI19" s="108">
        <f>CASHFLOW!I137-'CF-Partnership, NNG &amp; 53K'!I19</f>
        <v>3265</v>
      </c>
      <c r="AJ19" s="108">
        <f>CASHFLOW!J137-'CF-Partnership, NNG &amp; 53K'!J19</f>
        <v>3422</v>
      </c>
      <c r="AK19" s="108">
        <f>CASHFLOW!K137-'CF-Partnership, NNG &amp; 53K'!K19</f>
        <v>341</v>
      </c>
      <c r="AL19" s="108">
        <f>CASHFLOW!L137-'CF-Partnership, NNG &amp; 53K'!L19</f>
        <v>418</v>
      </c>
      <c r="AM19" s="108">
        <f>CASHFLOW!M137-'CF-Partnership, NNG &amp; 53K'!M19</f>
        <v>317</v>
      </c>
      <c r="AN19" s="108">
        <f>CASHFLOW!N137-'CF-Partnership, NNG &amp; 53K'!N19</f>
        <v>918</v>
      </c>
      <c r="AO19" s="108">
        <f>CASHFLOW!O137-'CF-Partnership, NNG &amp; 53K'!O19</f>
        <v>-9786</v>
      </c>
      <c r="AP19" s="75">
        <f t="shared" si="9"/>
        <v>5771</v>
      </c>
      <c r="AQ19" s="76">
        <f t="shared" si="10"/>
        <v>13563</v>
      </c>
      <c r="AR19" s="75">
        <f t="shared" si="11"/>
        <v>-7792</v>
      </c>
      <c r="AS19" s="75"/>
      <c r="AT19" s="221">
        <v>0</v>
      </c>
      <c r="AU19" s="221">
        <v>0</v>
      </c>
      <c r="AV19" s="108">
        <f t="shared" si="12"/>
        <v>0</v>
      </c>
    </row>
    <row r="20" spans="1:48" ht="12.75" customHeight="1">
      <c r="A20" s="219" t="str">
        <f>CASHFLOW!A138</f>
        <v xml:space="preserve">   Price Risk Management Activities (Net)</v>
      </c>
      <c r="B20" s="63"/>
      <c r="C20" s="63"/>
      <c r="D20" s="221">
        <v>0</v>
      </c>
      <c r="E20" s="221">
        <v>0</v>
      </c>
      <c r="F20" s="221">
        <v>0</v>
      </c>
      <c r="G20" s="221">
        <v>0</v>
      </c>
      <c r="H20" s="221">
        <v>0</v>
      </c>
      <c r="I20" s="221">
        <v>0</v>
      </c>
      <c r="J20" s="221">
        <v>0</v>
      </c>
      <c r="K20" s="221">
        <v>0</v>
      </c>
      <c r="L20" s="221">
        <v>0</v>
      </c>
      <c r="M20" s="221">
        <v>0</v>
      </c>
      <c r="N20" s="221">
        <v>0</v>
      </c>
      <c r="O20" s="221">
        <v>0</v>
      </c>
      <c r="P20" s="75">
        <f t="shared" si="5"/>
        <v>0</v>
      </c>
      <c r="Q20" s="76">
        <f t="shared" si="6"/>
        <v>0</v>
      </c>
      <c r="R20" s="75">
        <f t="shared" si="7"/>
        <v>0</v>
      </c>
      <c r="S20" s="75"/>
      <c r="T20" s="221">
        <v>0</v>
      </c>
      <c r="U20" s="221">
        <v>0</v>
      </c>
      <c r="V20" s="108">
        <f t="shared" si="8"/>
        <v>0</v>
      </c>
      <c r="W20" s="63"/>
      <c r="X20" s="63"/>
      <c r="Y20" s="63"/>
      <c r="Z20" s="63"/>
      <c r="AA20" s="63" t="str">
        <f t="shared" si="2"/>
        <v xml:space="preserve">   Price Risk Management Activities (Net)</v>
      </c>
      <c r="AB20" s="63"/>
      <c r="AC20" s="63"/>
      <c r="AD20" s="108">
        <f>CASHFLOW!D138-'CF-Partnership, NNG &amp; 53K'!D20</f>
        <v>-483</v>
      </c>
      <c r="AE20" s="108">
        <f>CASHFLOW!E138-'CF-Partnership, NNG &amp; 53K'!E20</f>
        <v>75</v>
      </c>
      <c r="AF20" s="108">
        <f>CASHFLOW!F138-'CF-Partnership, NNG &amp; 53K'!F20</f>
        <v>62</v>
      </c>
      <c r="AG20" s="108">
        <f>CASHFLOW!G138-'CF-Partnership, NNG &amp; 53K'!G20</f>
        <v>153</v>
      </c>
      <c r="AH20" s="108">
        <f>CASHFLOW!H138-'CF-Partnership, NNG &amp; 53K'!H20</f>
        <v>141</v>
      </c>
      <c r="AI20" s="108">
        <f>CASHFLOW!I138-'CF-Partnership, NNG &amp; 53K'!I20</f>
        <v>138</v>
      </c>
      <c r="AJ20" s="108">
        <f>CASHFLOW!J138-'CF-Partnership, NNG &amp; 53K'!J20</f>
        <v>717</v>
      </c>
      <c r="AK20" s="108">
        <f>CASHFLOW!K138-'CF-Partnership, NNG &amp; 53K'!K20</f>
        <v>0</v>
      </c>
      <c r="AL20" s="108">
        <f>CASHFLOW!L138-'CF-Partnership, NNG &amp; 53K'!L20</f>
        <v>0</v>
      </c>
      <c r="AM20" s="108">
        <f>CASHFLOW!M138-'CF-Partnership, NNG &amp; 53K'!M20</f>
        <v>0</v>
      </c>
      <c r="AN20" s="108">
        <f>CASHFLOW!N138-'CF-Partnership, NNG &amp; 53K'!N20</f>
        <v>0</v>
      </c>
      <c r="AO20" s="108">
        <f>CASHFLOW!O138-'CF-Partnership, NNG &amp; 53K'!O20</f>
        <v>0</v>
      </c>
      <c r="AP20" s="75">
        <f t="shared" si="9"/>
        <v>803</v>
      </c>
      <c r="AQ20" s="76">
        <f t="shared" si="10"/>
        <v>803</v>
      </c>
      <c r="AR20" s="75">
        <f t="shared" si="11"/>
        <v>0</v>
      </c>
      <c r="AS20" s="75"/>
      <c r="AT20" s="221">
        <v>0</v>
      </c>
      <c r="AU20" s="221">
        <v>0</v>
      </c>
      <c r="AV20" s="108">
        <f t="shared" si="12"/>
        <v>0</v>
      </c>
    </row>
    <row r="21" spans="1:48" ht="12.75" customHeight="1">
      <c r="A21" s="219" t="str">
        <f>CASHFLOW!A139</f>
        <v xml:space="preserve">   Equity Earnings</v>
      </c>
      <c r="B21" s="63"/>
      <c r="C21" s="63"/>
      <c r="D21" s="75">
        <f>CASHFLOW!D30</f>
        <v>-525</v>
      </c>
      <c r="E21" s="75">
        <f>CASHFLOW!E30</f>
        <v>-329</v>
      </c>
      <c r="F21" s="75">
        <f>CASHFLOW!F30</f>
        <v>-313</v>
      </c>
      <c r="G21" s="75">
        <f>CASHFLOW!G30</f>
        <v>-1284</v>
      </c>
      <c r="H21" s="75">
        <f>CASHFLOW!H30</f>
        <v>-318</v>
      </c>
      <c r="I21" s="75">
        <f>CASHFLOW!I30</f>
        <v>-436</v>
      </c>
      <c r="J21" s="75">
        <f>CASHFLOW!J30</f>
        <v>-335</v>
      </c>
      <c r="K21" s="75">
        <f>CASHFLOW!K30</f>
        <v>-270</v>
      </c>
      <c r="L21" s="75">
        <f>CASHFLOW!L30</f>
        <v>-324</v>
      </c>
      <c r="M21" s="75">
        <f>CASHFLOW!M30</f>
        <v>-325</v>
      </c>
      <c r="N21" s="75">
        <f>CASHFLOW!N30</f>
        <v>-342</v>
      </c>
      <c r="O21" s="75">
        <f>CASHFLOW!O30</f>
        <v>-16</v>
      </c>
      <c r="P21" s="75">
        <f t="shared" si="5"/>
        <v>-4817</v>
      </c>
      <c r="Q21" s="76">
        <f t="shared" si="6"/>
        <v>-3540</v>
      </c>
      <c r="R21" s="75">
        <f t="shared" si="7"/>
        <v>-1277</v>
      </c>
      <c r="S21" s="75"/>
      <c r="T21" s="221">
        <v>0</v>
      </c>
      <c r="U21" s="221">
        <v>0</v>
      </c>
      <c r="V21" s="108">
        <f t="shared" si="8"/>
        <v>0</v>
      </c>
      <c r="W21" s="63"/>
      <c r="X21" s="63"/>
      <c r="Y21" s="63"/>
      <c r="Z21" s="63"/>
      <c r="AA21" s="63" t="str">
        <f t="shared" si="2"/>
        <v xml:space="preserve">   Equity Earnings</v>
      </c>
      <c r="AB21" s="63"/>
      <c r="AC21" s="63"/>
      <c r="AD21" s="108">
        <f>CASHFLOW!D139-'CF-Partnership, NNG &amp; 53K'!D21</f>
        <v>0</v>
      </c>
      <c r="AE21" s="108">
        <f>CASHFLOW!E139-'CF-Partnership, NNG &amp; 53K'!E21</f>
        <v>0</v>
      </c>
      <c r="AF21" s="108">
        <f>CASHFLOW!F139-'CF-Partnership, NNG &amp; 53K'!F21</f>
        <v>0</v>
      </c>
      <c r="AG21" s="108">
        <f>CASHFLOW!G139-'CF-Partnership, NNG &amp; 53K'!G21</f>
        <v>0</v>
      </c>
      <c r="AH21" s="108">
        <f>CASHFLOW!H139-'CF-Partnership, NNG &amp; 53K'!H21</f>
        <v>0</v>
      </c>
      <c r="AI21" s="108">
        <f>CASHFLOW!I139-'CF-Partnership, NNG &amp; 53K'!I21</f>
        <v>0</v>
      </c>
      <c r="AJ21" s="108">
        <f>CASHFLOW!J139-'CF-Partnership, NNG &amp; 53K'!J21</f>
        <v>0</v>
      </c>
      <c r="AK21" s="108">
        <f>CASHFLOW!K139-'CF-Partnership, NNG &amp; 53K'!K21</f>
        <v>0</v>
      </c>
      <c r="AL21" s="108">
        <f>CASHFLOW!L139-'CF-Partnership, NNG &amp; 53K'!L21</f>
        <v>0</v>
      </c>
      <c r="AM21" s="108">
        <f>CASHFLOW!M139-'CF-Partnership, NNG &amp; 53K'!M21</f>
        <v>0</v>
      </c>
      <c r="AN21" s="108">
        <f>CASHFLOW!N139-'CF-Partnership, NNG &amp; 53K'!N21</f>
        <v>0</v>
      </c>
      <c r="AO21" s="108">
        <f>CASHFLOW!O139-'CF-Partnership, NNG &amp; 53K'!O21</f>
        <v>0</v>
      </c>
      <c r="AP21" s="75">
        <f t="shared" si="9"/>
        <v>0</v>
      </c>
      <c r="AQ21" s="76">
        <f t="shared" si="10"/>
        <v>0</v>
      </c>
      <c r="AR21" s="75">
        <f t="shared" si="11"/>
        <v>0</v>
      </c>
      <c r="AS21" s="75"/>
      <c r="AT21" s="221">
        <v>0</v>
      </c>
      <c r="AU21" s="221">
        <v>0</v>
      </c>
      <c r="AV21" s="108">
        <f t="shared" si="12"/>
        <v>0</v>
      </c>
    </row>
    <row r="22" spans="1:48" ht="12.75" customHeight="1">
      <c r="A22" s="219" t="str">
        <f>CASHFLOW!A140</f>
        <v xml:space="preserve">   Equity / Partner. Distributions / Overthrust Sale (Book Basis)</v>
      </c>
      <c r="B22" s="63"/>
      <c r="C22" s="63"/>
      <c r="D22" s="75">
        <f>CASHFLOW!D31</f>
        <v>0</v>
      </c>
      <c r="E22" s="75">
        <f>CASHFLOW!E31</f>
        <v>0</v>
      </c>
      <c r="F22" s="75">
        <f>CASHFLOW!F31</f>
        <v>800</v>
      </c>
      <c r="G22" s="75">
        <f>CASHFLOW!G31</f>
        <v>0</v>
      </c>
      <c r="H22" s="75">
        <f>CASHFLOW!H31</f>
        <v>0</v>
      </c>
      <c r="I22" s="75">
        <f>CASHFLOW!I31</f>
        <v>3800</v>
      </c>
      <c r="J22" s="75">
        <f>CASHFLOW!J31</f>
        <v>0</v>
      </c>
      <c r="K22" s="75">
        <f>CASHFLOW!K31</f>
        <v>2000</v>
      </c>
      <c r="L22" s="75">
        <f>CASHFLOW!L31</f>
        <v>800</v>
      </c>
      <c r="M22" s="75">
        <f>CASHFLOW!M31</f>
        <v>0</v>
      </c>
      <c r="N22" s="75">
        <f>CASHFLOW!N31</f>
        <v>0</v>
      </c>
      <c r="O22" s="75">
        <f>CASHFLOW!O31</f>
        <v>800</v>
      </c>
      <c r="P22" s="75">
        <f t="shared" si="5"/>
        <v>8200</v>
      </c>
      <c r="Q22" s="76">
        <f t="shared" si="6"/>
        <v>4600</v>
      </c>
      <c r="R22" s="75">
        <f t="shared" si="7"/>
        <v>3600</v>
      </c>
      <c r="S22" s="75"/>
      <c r="T22" s="221">
        <v>0</v>
      </c>
      <c r="U22" s="221">
        <v>0</v>
      </c>
      <c r="V22" s="108">
        <f t="shared" si="8"/>
        <v>0</v>
      </c>
      <c r="W22" s="63"/>
      <c r="X22" s="63"/>
      <c r="Y22" s="63"/>
      <c r="Z22" s="63"/>
      <c r="AA22" s="63" t="str">
        <f t="shared" si="2"/>
        <v xml:space="preserve">   Equity / Partner. Distributions / Overthrust Sale (Book Basis)</v>
      </c>
      <c r="AB22" s="63"/>
      <c r="AC22" s="63"/>
      <c r="AD22" s="108">
        <f>CASHFLOW!D140-'CF-Partnership, NNG &amp; 53K'!D22</f>
        <v>0</v>
      </c>
      <c r="AE22" s="108">
        <f>CASHFLOW!E140-'CF-Partnership, NNG &amp; 53K'!E22</f>
        <v>0</v>
      </c>
      <c r="AF22" s="108">
        <f>CASHFLOW!F140-'CF-Partnership, NNG &amp; 53K'!F22</f>
        <v>0</v>
      </c>
      <c r="AG22" s="108">
        <f>CASHFLOW!G140-'CF-Partnership, NNG &amp; 53K'!G22</f>
        <v>0</v>
      </c>
      <c r="AH22" s="108">
        <f>CASHFLOW!H140-'CF-Partnership, NNG &amp; 53K'!H22</f>
        <v>0</v>
      </c>
      <c r="AI22" s="108">
        <f>CASHFLOW!I140-'CF-Partnership, NNG &amp; 53K'!I22</f>
        <v>0</v>
      </c>
      <c r="AJ22" s="108">
        <f>CASHFLOW!J140-'CF-Partnership, NNG &amp; 53K'!J22</f>
        <v>0</v>
      </c>
      <c r="AK22" s="108">
        <f>CASHFLOW!K140-'CF-Partnership, NNG &amp; 53K'!K22</f>
        <v>0</v>
      </c>
      <c r="AL22" s="108">
        <f>CASHFLOW!L140-'CF-Partnership, NNG &amp; 53K'!L22</f>
        <v>0</v>
      </c>
      <c r="AM22" s="108">
        <f>CASHFLOW!M140-'CF-Partnership, NNG &amp; 53K'!M22</f>
        <v>0</v>
      </c>
      <c r="AN22" s="108">
        <f>CASHFLOW!N140-'CF-Partnership, NNG &amp; 53K'!N22</f>
        <v>0</v>
      </c>
      <c r="AO22" s="108">
        <f>CASHFLOW!O140-'CF-Partnership, NNG &amp; 53K'!O22</f>
        <v>0</v>
      </c>
      <c r="AP22" s="75">
        <f t="shared" si="9"/>
        <v>0</v>
      </c>
      <c r="AQ22" s="76">
        <f t="shared" si="10"/>
        <v>0</v>
      </c>
      <c r="AR22" s="75">
        <f t="shared" si="11"/>
        <v>0</v>
      </c>
      <c r="AS22" s="75"/>
      <c r="AT22" s="221">
        <v>0</v>
      </c>
      <c r="AU22" s="221">
        <v>0</v>
      </c>
      <c r="AV22" s="108">
        <f t="shared" si="12"/>
        <v>0</v>
      </c>
    </row>
    <row r="23" spans="1:48" ht="12.75" customHeight="1">
      <c r="A23" s="219" t="str">
        <f>CASHFLOW!A141</f>
        <v xml:space="preserve">   Other (Incl. All Capital Costs &amp; Current Reserve Activity) </v>
      </c>
      <c r="B23" s="63"/>
      <c r="C23" s="63"/>
      <c r="D23" s="222">
        <v>0</v>
      </c>
      <c r="E23" s="222">
        <v>0</v>
      </c>
      <c r="F23" s="222">
        <v>0</v>
      </c>
      <c r="G23" s="222">
        <v>0</v>
      </c>
      <c r="H23" s="222">
        <v>0</v>
      </c>
      <c r="I23" s="222">
        <v>0</v>
      </c>
      <c r="J23" s="222">
        <v>0</v>
      </c>
      <c r="K23" s="222">
        <v>0</v>
      </c>
      <c r="L23" s="222">
        <v>0</v>
      </c>
      <c r="M23" s="222">
        <v>0</v>
      </c>
      <c r="N23" s="222">
        <v>0</v>
      </c>
      <c r="O23" s="222">
        <v>0</v>
      </c>
      <c r="P23" s="80">
        <f t="shared" si="5"/>
        <v>0</v>
      </c>
      <c r="Q23" s="99">
        <f t="shared" si="6"/>
        <v>0</v>
      </c>
      <c r="R23" s="80">
        <f t="shared" si="7"/>
        <v>0</v>
      </c>
      <c r="S23" s="80"/>
      <c r="T23" s="222">
        <v>0</v>
      </c>
      <c r="U23" s="222">
        <v>0</v>
      </c>
      <c r="V23" s="109">
        <f t="shared" si="8"/>
        <v>0</v>
      </c>
      <c r="W23" s="63"/>
      <c r="X23" s="63"/>
      <c r="Y23" s="63"/>
      <c r="Z23" s="63"/>
      <c r="AA23" s="63" t="str">
        <f t="shared" si="2"/>
        <v xml:space="preserve">   Other (Incl. All Capital Costs &amp; Current Reserve Activity) </v>
      </c>
      <c r="AB23" s="63"/>
      <c r="AC23" s="63"/>
      <c r="AD23" s="109">
        <f>CASHFLOW!D141-'CF-Partnership, NNG &amp; 53K'!D23</f>
        <v>1266</v>
      </c>
      <c r="AE23" s="109">
        <f>CASHFLOW!E141-'CF-Partnership, NNG &amp; 53K'!E23</f>
        <v>-524</v>
      </c>
      <c r="AF23" s="109">
        <f>CASHFLOW!F141-'CF-Partnership, NNG &amp; 53K'!F23</f>
        <v>-3806</v>
      </c>
      <c r="AG23" s="109">
        <f>CASHFLOW!G141-'CF-Partnership, NNG &amp; 53K'!G23</f>
        <v>-412</v>
      </c>
      <c r="AH23" s="109">
        <f>CASHFLOW!H141-'CF-Partnership, NNG &amp; 53K'!H23</f>
        <v>101</v>
      </c>
      <c r="AI23" s="109">
        <f>CASHFLOW!I141-'CF-Partnership, NNG &amp; 53K'!I23</f>
        <v>-1192</v>
      </c>
      <c r="AJ23" s="109">
        <f>CASHFLOW!J141-'CF-Partnership, NNG &amp; 53K'!J23</f>
        <v>-1202</v>
      </c>
      <c r="AK23" s="109">
        <f>CASHFLOW!K141-'CF-Partnership, NNG &amp; 53K'!K23</f>
        <v>-158</v>
      </c>
      <c r="AL23" s="109">
        <f>CASHFLOW!L141-'CF-Partnership, NNG &amp; 53K'!L23</f>
        <v>-219</v>
      </c>
      <c r="AM23" s="109">
        <f>CASHFLOW!M141-'CF-Partnership, NNG &amp; 53K'!M23</f>
        <v>-161</v>
      </c>
      <c r="AN23" s="109">
        <f>CASHFLOW!N141-'CF-Partnership, NNG &amp; 53K'!N23</f>
        <v>-86</v>
      </c>
      <c r="AO23" s="109">
        <f>CASHFLOW!O141-'CF-Partnership, NNG &amp; 53K'!O23</f>
        <v>-377</v>
      </c>
      <c r="AP23" s="80">
        <f t="shared" si="9"/>
        <v>-6770</v>
      </c>
      <c r="AQ23" s="99">
        <f t="shared" si="10"/>
        <v>-5769</v>
      </c>
      <c r="AR23" s="80">
        <f t="shared" si="11"/>
        <v>-1001</v>
      </c>
      <c r="AS23" s="80"/>
      <c r="AT23" s="222">
        <v>0</v>
      </c>
      <c r="AU23" s="222">
        <v>0</v>
      </c>
      <c r="AV23" s="109">
        <f t="shared" si="12"/>
        <v>0</v>
      </c>
    </row>
    <row r="24" spans="1:48" ht="3.95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</row>
    <row r="25" spans="1:48" ht="12.75" customHeight="1">
      <c r="A25" s="220" t="str">
        <f>CASHFLOW!A143</f>
        <v xml:space="preserve">            Total Funds Flow From Operations</v>
      </c>
      <c r="B25" s="63"/>
      <c r="C25" s="63"/>
      <c r="D25" s="209">
        <f t="shared" ref="D25:R25" si="13">SUM(D16:D23)</f>
        <v>-268</v>
      </c>
      <c r="E25" s="209">
        <f t="shared" si="13"/>
        <v>-199</v>
      </c>
      <c r="F25" s="209">
        <f t="shared" si="13"/>
        <v>605</v>
      </c>
      <c r="G25" s="209">
        <f t="shared" si="13"/>
        <v>-534</v>
      </c>
      <c r="H25" s="209">
        <f t="shared" si="13"/>
        <v>-195</v>
      </c>
      <c r="I25" s="209">
        <f t="shared" si="13"/>
        <v>3563</v>
      </c>
      <c r="J25" s="209">
        <f t="shared" si="13"/>
        <v>-202</v>
      </c>
      <c r="K25" s="209">
        <f t="shared" si="13"/>
        <v>1822</v>
      </c>
      <c r="L25" s="209">
        <f t="shared" si="13"/>
        <v>603</v>
      </c>
      <c r="M25" s="209">
        <f t="shared" si="13"/>
        <v>-238</v>
      </c>
      <c r="N25" s="209">
        <f t="shared" si="13"/>
        <v>-252</v>
      </c>
      <c r="O25" s="209">
        <f t="shared" si="13"/>
        <v>798</v>
      </c>
      <c r="P25" s="209">
        <f t="shared" si="13"/>
        <v>5503</v>
      </c>
      <c r="Q25" s="209">
        <f t="shared" si="13"/>
        <v>2770</v>
      </c>
      <c r="R25" s="209">
        <f t="shared" si="13"/>
        <v>2733</v>
      </c>
      <c r="S25" s="111"/>
      <c r="T25" s="209">
        <f>SUM(T16:T23)</f>
        <v>0</v>
      </c>
      <c r="U25" s="209">
        <f>SUM(U16:U23)</f>
        <v>0</v>
      </c>
      <c r="V25" s="209">
        <f>SUM(V16:V23)</f>
        <v>0</v>
      </c>
      <c r="W25" s="63"/>
      <c r="X25" s="63"/>
      <c r="Y25" s="63"/>
      <c r="Z25" s="63"/>
      <c r="AA25" s="60" t="str">
        <f>A25</f>
        <v xml:space="preserve">            Total Funds Flow From Operations</v>
      </c>
      <c r="AB25" s="63"/>
      <c r="AC25" s="63"/>
      <c r="AD25" s="209">
        <f t="shared" ref="AD25:AO25" si="14">SUM(AD16:AD23)</f>
        <v>24758</v>
      </c>
      <c r="AE25" s="209">
        <f t="shared" si="14"/>
        <v>25445</v>
      </c>
      <c r="AF25" s="209">
        <f t="shared" si="14"/>
        <v>16924</v>
      </c>
      <c r="AG25" s="209">
        <f t="shared" si="14"/>
        <v>30724</v>
      </c>
      <c r="AH25" s="209">
        <f t="shared" si="14"/>
        <v>10746</v>
      </c>
      <c r="AI25" s="209">
        <f t="shared" si="14"/>
        <v>5441</v>
      </c>
      <c r="AJ25" s="209">
        <f t="shared" si="14"/>
        <v>9063</v>
      </c>
      <c r="AK25" s="209">
        <f t="shared" si="14"/>
        <v>9759</v>
      </c>
      <c r="AL25" s="209">
        <f t="shared" si="14"/>
        <v>6825</v>
      </c>
      <c r="AM25" s="209">
        <f t="shared" si="14"/>
        <v>-7730</v>
      </c>
      <c r="AN25" s="209">
        <f t="shared" si="14"/>
        <v>19722</v>
      </c>
      <c r="AO25" s="209">
        <f t="shared" si="14"/>
        <v>8938</v>
      </c>
      <c r="AP25" s="209">
        <f>SUM(AP16:AP23)</f>
        <v>160615</v>
      </c>
      <c r="AQ25" s="209">
        <f>SUM(AQ16:AQ23)</f>
        <v>123101</v>
      </c>
      <c r="AR25" s="209">
        <f>SUM(AR16:AR23)</f>
        <v>37514</v>
      </c>
      <c r="AS25" s="111"/>
      <c r="AT25" s="209">
        <f>SUM(AT16:AT23)</f>
        <v>0</v>
      </c>
      <c r="AU25" s="209">
        <f>SUM(AU16:AU23)</f>
        <v>0</v>
      </c>
      <c r="AV25" s="209">
        <f>SUM(AV16:AV23)</f>
        <v>0</v>
      </c>
    </row>
    <row r="26" spans="1:48" ht="3.95" customHeight="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</row>
    <row r="27" spans="1:48" ht="12.75" customHeight="1">
      <c r="A27" s="219" t="str">
        <f>CASHFLOW!A145</f>
        <v xml:space="preserve">   Working Capital Changes: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 t="str">
        <f t="shared" ref="AA27:AA48" si="15">A27</f>
        <v xml:space="preserve">   Working Capital Changes:</v>
      </c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</row>
    <row r="28" spans="1:48" ht="12.75" customHeight="1">
      <c r="A28" s="219" t="str">
        <f>CASHFLOW!A146</f>
        <v xml:space="preserve">      Accounts Receivable (Including Exchange Gas Rec.)</v>
      </c>
      <c r="B28" s="63"/>
      <c r="C28" s="63"/>
      <c r="D28" s="221">
        <v>0</v>
      </c>
      <c r="E28" s="221">
        <v>0</v>
      </c>
      <c r="F28" s="221">
        <v>0</v>
      </c>
      <c r="G28" s="221">
        <v>0</v>
      </c>
      <c r="H28" s="221">
        <v>0</v>
      </c>
      <c r="I28" s="221">
        <v>0</v>
      </c>
      <c r="J28" s="221">
        <v>0</v>
      </c>
      <c r="K28" s="221">
        <v>0</v>
      </c>
      <c r="L28" s="221">
        <v>0</v>
      </c>
      <c r="M28" s="221">
        <v>0</v>
      </c>
      <c r="N28" s="221">
        <v>0</v>
      </c>
      <c r="O28" s="221">
        <v>0</v>
      </c>
      <c r="P28" s="75">
        <f>SUM(D28:O28)</f>
        <v>0</v>
      </c>
      <c r="Q28" s="76">
        <f t="shared" ref="Q28:Q35" si="16">SUM(D28:J28)</f>
        <v>0</v>
      </c>
      <c r="R28" s="75">
        <f>P28-Q28</f>
        <v>0</v>
      </c>
      <c r="S28" s="75"/>
      <c r="T28" s="221">
        <v>0</v>
      </c>
      <c r="U28" s="221">
        <v>0</v>
      </c>
      <c r="V28" s="108">
        <f t="shared" ref="V28:V35" si="17">T28-U28</f>
        <v>0</v>
      </c>
      <c r="W28" s="63"/>
      <c r="X28" s="63"/>
      <c r="Y28" s="63"/>
      <c r="Z28" s="63"/>
      <c r="AA28" s="63" t="str">
        <f t="shared" si="15"/>
        <v xml:space="preserve">      Accounts Receivable (Including Exchange Gas Rec.)</v>
      </c>
      <c r="AB28" s="63"/>
      <c r="AC28" s="63"/>
      <c r="AD28" s="108">
        <f>CASHFLOW!D146-'CF-Partnership, NNG &amp; 53K'!D28</f>
        <v>-5968</v>
      </c>
      <c r="AE28" s="108">
        <f>CASHFLOW!E146-'CF-Partnership, NNG &amp; 53K'!E28</f>
        <v>14003</v>
      </c>
      <c r="AF28" s="108">
        <f>CASHFLOW!F146-'CF-Partnership, NNG &amp; 53K'!F28</f>
        <v>-6349</v>
      </c>
      <c r="AG28" s="108">
        <f>CASHFLOW!G146-'CF-Partnership, NNG &amp; 53K'!G28</f>
        <v>20199</v>
      </c>
      <c r="AH28" s="108">
        <f>CASHFLOW!H146-'CF-Partnership, NNG &amp; 53K'!H28</f>
        <v>16089</v>
      </c>
      <c r="AI28" s="108">
        <f>CASHFLOW!I146-'CF-Partnership, NNG &amp; 53K'!I28</f>
        <v>-11461</v>
      </c>
      <c r="AJ28" s="108">
        <f>CASHFLOW!J146-'CF-Partnership, NNG &amp; 53K'!J28</f>
        <v>23021</v>
      </c>
      <c r="AK28" s="108">
        <f>CASHFLOW!K146-'CF-Partnership, NNG &amp; 53K'!K28</f>
        <v>-286</v>
      </c>
      <c r="AL28" s="108">
        <f>CASHFLOW!L146-'CF-Partnership, NNG &amp; 53K'!L28</f>
        <v>1749</v>
      </c>
      <c r="AM28" s="108">
        <f>CASHFLOW!M146-'CF-Partnership, NNG &amp; 53K'!M28</f>
        <v>619</v>
      </c>
      <c r="AN28" s="108">
        <f>CASHFLOW!N146-'CF-Partnership, NNG &amp; 53K'!N28</f>
        <v>-28987</v>
      </c>
      <c r="AO28" s="108">
        <f>CASHFLOW!O146-'CF-Partnership, NNG &amp; 53K'!O28</f>
        <v>-1198</v>
      </c>
      <c r="AP28" s="75">
        <f>SUM(AD28:AO28)</f>
        <v>21431</v>
      </c>
      <c r="AQ28" s="76">
        <f t="shared" ref="AQ28:AQ35" si="18">SUM(AD28:AJ28)</f>
        <v>49534</v>
      </c>
      <c r="AR28" s="75">
        <f>AP28-AQ28</f>
        <v>-28103</v>
      </c>
      <c r="AS28" s="75"/>
      <c r="AT28" s="221">
        <v>0</v>
      </c>
      <c r="AU28" s="221">
        <v>0</v>
      </c>
      <c r="AV28" s="108">
        <f t="shared" ref="AV28:AV35" si="19">AT28-AU28</f>
        <v>0</v>
      </c>
    </row>
    <row r="29" spans="1:48" ht="12.75" customHeight="1">
      <c r="A29" s="219" t="str">
        <f>CASHFLOW!A147</f>
        <v xml:space="preserve">      Accounts Payable &amp; Other (Including Exchange Gas Pay.)</v>
      </c>
      <c r="B29" s="63"/>
      <c r="C29" s="63"/>
      <c r="D29" s="221">
        <v>0</v>
      </c>
      <c r="E29" s="221">
        <v>0</v>
      </c>
      <c r="F29" s="221">
        <v>0</v>
      </c>
      <c r="G29" s="221">
        <v>0</v>
      </c>
      <c r="H29" s="221">
        <v>0</v>
      </c>
      <c r="I29" s="221">
        <v>0</v>
      </c>
      <c r="J29" s="221">
        <v>0</v>
      </c>
      <c r="K29" s="221">
        <v>0</v>
      </c>
      <c r="L29" s="221">
        <v>0</v>
      </c>
      <c r="M29" s="221">
        <v>0</v>
      </c>
      <c r="N29" s="221">
        <v>0</v>
      </c>
      <c r="O29" s="221">
        <v>0</v>
      </c>
      <c r="P29" s="75">
        <f t="shared" ref="P29:P35" si="20">SUM(D29:O29)</f>
        <v>0</v>
      </c>
      <c r="Q29" s="76">
        <f t="shared" si="16"/>
        <v>0</v>
      </c>
      <c r="R29" s="75">
        <f t="shared" ref="R29:R35" si="21">P29-Q29</f>
        <v>0</v>
      </c>
      <c r="S29" s="75"/>
      <c r="T29" s="221">
        <v>0</v>
      </c>
      <c r="U29" s="221">
        <v>0</v>
      </c>
      <c r="V29" s="108">
        <f t="shared" si="17"/>
        <v>0</v>
      </c>
      <c r="W29" s="63"/>
      <c r="X29" s="63"/>
      <c r="Y29" s="63"/>
      <c r="Z29" s="63"/>
      <c r="AA29" s="63" t="str">
        <f t="shared" si="15"/>
        <v xml:space="preserve">      Accounts Payable &amp; Other (Including Exchange Gas Pay.)</v>
      </c>
      <c r="AB29" s="63"/>
      <c r="AC29" s="63"/>
      <c r="AD29" s="108">
        <f>CASHFLOW!D147-'CF-Partnership, NNG &amp; 53K'!D29</f>
        <v>52851</v>
      </c>
      <c r="AE29" s="108">
        <f>CASHFLOW!E147-'CF-Partnership, NNG &amp; 53K'!E29</f>
        <v>-53828</v>
      </c>
      <c r="AF29" s="108">
        <f>CASHFLOW!F147-'CF-Partnership, NNG &amp; 53K'!F29</f>
        <v>-3137</v>
      </c>
      <c r="AG29" s="108">
        <f>CASHFLOW!G147-'CF-Partnership, NNG &amp; 53K'!G29</f>
        <v>-11232</v>
      </c>
      <c r="AH29" s="108">
        <f>CASHFLOW!H147-'CF-Partnership, NNG &amp; 53K'!H29</f>
        <v>-9274</v>
      </c>
      <c r="AI29" s="108">
        <f>CASHFLOW!I147-'CF-Partnership, NNG &amp; 53K'!I29</f>
        <v>1252</v>
      </c>
      <c r="AJ29" s="108">
        <f>CASHFLOW!J147-'CF-Partnership, NNG &amp; 53K'!J29</f>
        <v>-20237</v>
      </c>
      <c r="AK29" s="108">
        <f>CASHFLOW!K147-'CF-Partnership, NNG &amp; 53K'!K29</f>
        <v>3509</v>
      </c>
      <c r="AL29" s="108">
        <f>CASHFLOW!L147-'CF-Partnership, NNG &amp; 53K'!L29</f>
        <v>1950</v>
      </c>
      <c r="AM29" s="108">
        <f>CASHFLOW!M147-'CF-Partnership, NNG &amp; 53K'!M29</f>
        <v>-3995</v>
      </c>
      <c r="AN29" s="108">
        <f>CASHFLOW!N147-'CF-Partnership, NNG &amp; 53K'!N29</f>
        <v>-5941</v>
      </c>
      <c r="AO29" s="108">
        <f>CASHFLOW!O147-'CF-Partnership, NNG &amp; 53K'!O29</f>
        <v>-1131</v>
      </c>
      <c r="AP29" s="75">
        <f t="shared" ref="AP29:AP35" si="22">SUM(AD29:AO29)</f>
        <v>-49213</v>
      </c>
      <c r="AQ29" s="76">
        <f t="shared" si="18"/>
        <v>-43605</v>
      </c>
      <c r="AR29" s="75">
        <f t="shared" ref="AR29:AR35" si="23">AP29-AQ29</f>
        <v>-5608</v>
      </c>
      <c r="AS29" s="75"/>
      <c r="AT29" s="221">
        <v>0</v>
      </c>
      <c r="AU29" s="221">
        <v>0</v>
      </c>
      <c r="AV29" s="108">
        <f t="shared" si="19"/>
        <v>0</v>
      </c>
    </row>
    <row r="30" spans="1:48" ht="12.75" customHeight="1">
      <c r="A30" s="219" t="str">
        <f>CASHFLOW!A148</f>
        <v xml:space="preserve">      Over / (Under) Recovered Gas Cost</v>
      </c>
      <c r="B30" s="63"/>
      <c r="C30" s="63"/>
      <c r="D30" s="221">
        <v>0</v>
      </c>
      <c r="E30" s="221">
        <v>0</v>
      </c>
      <c r="F30" s="221">
        <v>0</v>
      </c>
      <c r="G30" s="221">
        <v>0</v>
      </c>
      <c r="H30" s="221">
        <v>0</v>
      </c>
      <c r="I30" s="221">
        <v>0</v>
      </c>
      <c r="J30" s="221">
        <v>0</v>
      </c>
      <c r="K30" s="221">
        <v>0</v>
      </c>
      <c r="L30" s="221">
        <v>0</v>
      </c>
      <c r="M30" s="221">
        <v>0</v>
      </c>
      <c r="N30" s="221">
        <v>0</v>
      </c>
      <c r="O30" s="221">
        <v>0</v>
      </c>
      <c r="P30" s="75">
        <f t="shared" si="20"/>
        <v>0</v>
      </c>
      <c r="Q30" s="76">
        <f t="shared" si="16"/>
        <v>0</v>
      </c>
      <c r="R30" s="75">
        <f t="shared" si="21"/>
        <v>0</v>
      </c>
      <c r="S30" s="75"/>
      <c r="T30" s="221">
        <v>0</v>
      </c>
      <c r="U30" s="221">
        <v>0</v>
      </c>
      <c r="V30" s="108">
        <f t="shared" si="17"/>
        <v>0</v>
      </c>
      <c r="W30" s="63"/>
      <c r="X30" s="63"/>
      <c r="Y30" s="63"/>
      <c r="Z30" s="63"/>
      <c r="AA30" s="63" t="str">
        <f t="shared" si="15"/>
        <v xml:space="preserve">      Over / (Under) Recovered Gas Cost</v>
      </c>
      <c r="AB30" s="63"/>
      <c r="AC30" s="63"/>
      <c r="AD30" s="108">
        <f>CASHFLOW!D148-'CF-Partnership, NNG &amp; 53K'!D30</f>
        <v>0</v>
      </c>
      <c r="AE30" s="108">
        <f>CASHFLOW!E148-'CF-Partnership, NNG &amp; 53K'!E30</f>
        <v>0</v>
      </c>
      <c r="AF30" s="108">
        <f>CASHFLOW!F148-'CF-Partnership, NNG &amp; 53K'!F30</f>
        <v>0</v>
      </c>
      <c r="AG30" s="108">
        <f>CASHFLOW!G148-'CF-Partnership, NNG &amp; 53K'!G30</f>
        <v>0</v>
      </c>
      <c r="AH30" s="108">
        <f>CASHFLOW!H148-'CF-Partnership, NNG &amp; 53K'!H30</f>
        <v>0</v>
      </c>
      <c r="AI30" s="108">
        <f>CASHFLOW!I148-'CF-Partnership, NNG &amp; 53K'!I30</f>
        <v>0</v>
      </c>
      <c r="AJ30" s="108">
        <f>CASHFLOW!J148-'CF-Partnership, NNG &amp; 53K'!J30</f>
        <v>0</v>
      </c>
      <c r="AK30" s="108">
        <f>CASHFLOW!K148-'CF-Partnership, NNG &amp; 53K'!K30</f>
        <v>0</v>
      </c>
      <c r="AL30" s="108">
        <f>CASHFLOW!L148-'CF-Partnership, NNG &amp; 53K'!L30</f>
        <v>0</v>
      </c>
      <c r="AM30" s="108">
        <f>CASHFLOW!M148-'CF-Partnership, NNG &amp; 53K'!M30</f>
        <v>0</v>
      </c>
      <c r="AN30" s="108">
        <f>CASHFLOW!N148-'CF-Partnership, NNG &amp; 53K'!N30</f>
        <v>0</v>
      </c>
      <c r="AO30" s="108">
        <f>CASHFLOW!O148-'CF-Partnership, NNG &amp; 53K'!O30</f>
        <v>0</v>
      </c>
      <c r="AP30" s="75">
        <f t="shared" si="22"/>
        <v>0</v>
      </c>
      <c r="AQ30" s="76">
        <f t="shared" si="18"/>
        <v>0</v>
      </c>
      <c r="AR30" s="75">
        <f t="shared" si="23"/>
        <v>0</v>
      </c>
      <c r="AS30" s="75"/>
      <c r="AT30" s="221">
        <v>0</v>
      </c>
      <c r="AU30" s="221">
        <v>0</v>
      </c>
      <c r="AV30" s="108">
        <f t="shared" si="19"/>
        <v>0</v>
      </c>
    </row>
    <row r="31" spans="1:48" ht="12.75" customHeight="1">
      <c r="A31" s="219" t="str">
        <f>CASHFLOW!A149</f>
        <v xml:space="preserve">      Accrued Interest - Third Party</v>
      </c>
      <c r="B31" s="63"/>
      <c r="C31" s="63"/>
      <c r="D31" s="221">
        <v>0</v>
      </c>
      <c r="E31" s="221">
        <v>0</v>
      </c>
      <c r="F31" s="221">
        <v>0</v>
      </c>
      <c r="G31" s="221">
        <v>0</v>
      </c>
      <c r="H31" s="221">
        <v>0</v>
      </c>
      <c r="I31" s="221">
        <v>0</v>
      </c>
      <c r="J31" s="221">
        <v>0</v>
      </c>
      <c r="K31" s="221">
        <v>0</v>
      </c>
      <c r="L31" s="221">
        <v>0</v>
      </c>
      <c r="M31" s="221">
        <v>0</v>
      </c>
      <c r="N31" s="221">
        <v>0</v>
      </c>
      <c r="O31" s="221">
        <v>0</v>
      </c>
      <c r="P31" s="75">
        <f t="shared" si="20"/>
        <v>0</v>
      </c>
      <c r="Q31" s="76">
        <f t="shared" si="16"/>
        <v>0</v>
      </c>
      <c r="R31" s="75">
        <f t="shared" si="21"/>
        <v>0</v>
      </c>
      <c r="S31" s="75"/>
      <c r="T31" s="221">
        <v>0</v>
      </c>
      <c r="U31" s="221">
        <v>0</v>
      </c>
      <c r="V31" s="108">
        <f t="shared" si="17"/>
        <v>0</v>
      </c>
      <c r="W31" s="63"/>
      <c r="X31" s="63"/>
      <c r="Y31" s="63"/>
      <c r="Z31" s="63"/>
      <c r="AA31" s="63" t="str">
        <f t="shared" si="15"/>
        <v xml:space="preserve">      Accrued Interest - Third Party</v>
      </c>
      <c r="AB31" s="63"/>
      <c r="AC31" s="63"/>
      <c r="AD31" s="108">
        <f>CASHFLOW!D149-'CF-Partnership, NNG &amp; 53K'!D31</f>
        <v>2875</v>
      </c>
      <c r="AE31" s="108">
        <f>CASHFLOW!E149-'CF-Partnership, NNG &amp; 53K'!E31</f>
        <v>2875</v>
      </c>
      <c r="AF31" s="108">
        <f>CASHFLOW!F149-'CF-Partnership, NNG &amp; 53K'!F31</f>
        <v>-2187</v>
      </c>
      <c r="AG31" s="108">
        <f>CASHFLOW!G149-'CF-Partnership, NNG &amp; 53K'!G31</f>
        <v>2875</v>
      </c>
      <c r="AH31" s="108">
        <f>CASHFLOW!H149-'CF-Partnership, NNG &amp; 53K'!H31</f>
        <v>-563</v>
      </c>
      <c r="AI31" s="108">
        <f>CASHFLOW!I149-'CF-Partnership, NNG &amp; 53K'!I31</f>
        <v>-5875</v>
      </c>
      <c r="AJ31" s="108">
        <f>CASHFLOW!J149-'CF-Partnership, NNG &amp; 53K'!J31</f>
        <v>2875</v>
      </c>
      <c r="AK31" s="108">
        <f>CASHFLOW!K149-'CF-Partnership, NNG &amp; 53K'!K31</f>
        <v>2875</v>
      </c>
      <c r="AL31" s="108">
        <f>CASHFLOW!L149-'CF-Partnership, NNG &amp; 53K'!L31</f>
        <v>-2187</v>
      </c>
      <c r="AM31" s="108">
        <f>CASHFLOW!M149-'CF-Partnership, NNG &amp; 53K'!M31</f>
        <v>2875</v>
      </c>
      <c r="AN31" s="108">
        <f>CASHFLOW!N149-'CF-Partnership, NNG &amp; 53K'!N31</f>
        <v>-563</v>
      </c>
      <c r="AO31" s="108">
        <f>CASHFLOW!O149-'CF-Partnership, NNG &amp; 53K'!O31</f>
        <v>-5875</v>
      </c>
      <c r="AP31" s="75">
        <f t="shared" si="22"/>
        <v>0</v>
      </c>
      <c r="AQ31" s="76">
        <f t="shared" si="18"/>
        <v>2875</v>
      </c>
      <c r="AR31" s="75">
        <f t="shared" si="23"/>
        <v>-2875</v>
      </c>
      <c r="AS31" s="75"/>
      <c r="AT31" s="221">
        <v>0</v>
      </c>
      <c r="AU31" s="221">
        <v>0</v>
      </c>
      <c r="AV31" s="108">
        <f t="shared" si="19"/>
        <v>0</v>
      </c>
    </row>
    <row r="32" spans="1:48" ht="12.75" customHeight="1">
      <c r="A32" s="219" t="str">
        <f>CASHFLOW!A150</f>
        <v xml:space="preserve">      Accrued Income Taxes</v>
      </c>
      <c r="B32" s="63"/>
      <c r="C32" s="63"/>
      <c r="D32" s="75">
        <f>BALSHEET!AD63-BALSHEET!AC63+BALSHEET!AD64-BALSHEET!AC64</f>
        <v>0</v>
      </c>
      <c r="E32" s="75">
        <f>BALSHEET!AE63-BALSHEET!AD63+BALSHEET!AE64-BALSHEET!AD64</f>
        <v>0</v>
      </c>
      <c r="F32" s="75">
        <f>BALSHEET!AF63-BALSHEET!AE63+BALSHEET!AF64-BALSHEET!AE64</f>
        <v>0</v>
      </c>
      <c r="G32" s="75">
        <f>BALSHEET!AG63-BALSHEET!AF63+BALSHEET!AG64-BALSHEET!AF64</f>
        <v>0</v>
      </c>
      <c r="H32" s="75">
        <f>BALSHEET!AH63-BALSHEET!AG63+BALSHEET!AH64-BALSHEET!AG64</f>
        <v>0</v>
      </c>
      <c r="I32" s="75">
        <f>BALSHEET!AI63-BALSHEET!AH63+BALSHEET!AI64-BALSHEET!AH64</f>
        <v>0</v>
      </c>
      <c r="J32" s="75">
        <f>BALSHEET!AJ63-BALSHEET!AI63+BALSHEET!AJ64-BALSHEET!AI64</f>
        <v>0</v>
      </c>
      <c r="K32" s="75">
        <f>BALSHEET!AK63-BALSHEET!AJ63+BALSHEET!AK64-BALSHEET!AJ64</f>
        <v>0</v>
      </c>
      <c r="L32" s="75">
        <f>BALSHEET!AL63-BALSHEET!AK63+BALSHEET!AL64-BALSHEET!AK64</f>
        <v>0</v>
      </c>
      <c r="M32" s="75">
        <f>BALSHEET!AM63-BALSHEET!AL63+BALSHEET!AM64-BALSHEET!AL64</f>
        <v>0</v>
      </c>
      <c r="N32" s="75">
        <f>BALSHEET!AN63-BALSHEET!AM63+BALSHEET!AN64-BALSHEET!AM64</f>
        <v>0</v>
      </c>
      <c r="O32" s="75">
        <f>BALSHEET!AO63-BALSHEET!AN63+BALSHEET!AO64-BALSHEET!AN64</f>
        <v>0</v>
      </c>
      <c r="P32" s="75">
        <f t="shared" si="20"/>
        <v>0</v>
      </c>
      <c r="Q32" s="76">
        <f t="shared" si="16"/>
        <v>0</v>
      </c>
      <c r="R32" s="75">
        <f t="shared" si="21"/>
        <v>0</v>
      </c>
      <c r="S32" s="75"/>
      <c r="T32" s="76">
        <v>0</v>
      </c>
      <c r="U32" s="76">
        <v>0</v>
      </c>
      <c r="V32" s="75">
        <f t="shared" si="17"/>
        <v>0</v>
      </c>
      <c r="W32" s="63"/>
      <c r="X32" s="63"/>
      <c r="Y32" s="63"/>
      <c r="Z32" s="63"/>
      <c r="AA32" s="63" t="str">
        <f t="shared" si="15"/>
        <v xml:space="preserve">      Accrued Income Taxes</v>
      </c>
      <c r="AB32" s="63"/>
      <c r="AC32" s="63"/>
      <c r="AD32" s="108">
        <f>CASHFLOW!D150-'CF-Partnership, NNG &amp; 53K'!D32</f>
        <v>0</v>
      </c>
      <c r="AE32" s="108">
        <f>CASHFLOW!E150-'CF-Partnership, NNG &amp; 53K'!E32</f>
        <v>0</v>
      </c>
      <c r="AF32" s="108">
        <f>CASHFLOW!F150-'CF-Partnership, NNG &amp; 53K'!F32</f>
        <v>0</v>
      </c>
      <c r="AG32" s="108">
        <f>CASHFLOW!G150-'CF-Partnership, NNG &amp; 53K'!G32</f>
        <v>0</v>
      </c>
      <c r="AH32" s="108">
        <f>CASHFLOW!H150-'CF-Partnership, NNG &amp; 53K'!H32</f>
        <v>0</v>
      </c>
      <c r="AI32" s="108">
        <f>CASHFLOW!I150-'CF-Partnership, NNG &amp; 53K'!I32</f>
        <v>0</v>
      </c>
      <c r="AJ32" s="108">
        <f>CASHFLOW!J150-'CF-Partnership, NNG &amp; 53K'!J32</f>
        <v>0</v>
      </c>
      <c r="AK32" s="108">
        <f>CASHFLOW!K150-'CF-Partnership, NNG &amp; 53K'!K32</f>
        <v>0</v>
      </c>
      <c r="AL32" s="108">
        <f>CASHFLOW!L150-'CF-Partnership, NNG &amp; 53K'!L32</f>
        <v>0</v>
      </c>
      <c r="AM32" s="108">
        <f>CASHFLOW!M150-'CF-Partnership, NNG &amp; 53K'!M32</f>
        <v>0</v>
      </c>
      <c r="AN32" s="108">
        <f>CASHFLOW!N150-'CF-Partnership, NNG &amp; 53K'!N32</f>
        <v>0</v>
      </c>
      <c r="AO32" s="108">
        <f>CASHFLOW!O150-'CF-Partnership, NNG &amp; 53K'!O32</f>
        <v>0</v>
      </c>
      <c r="AP32" s="75">
        <f t="shared" si="22"/>
        <v>0</v>
      </c>
      <c r="AQ32" s="76">
        <f t="shared" si="18"/>
        <v>0</v>
      </c>
      <c r="AR32" s="75">
        <f t="shared" si="23"/>
        <v>0</v>
      </c>
      <c r="AS32" s="75"/>
      <c r="AT32" s="76">
        <v>0</v>
      </c>
      <c r="AU32" s="76">
        <v>0</v>
      </c>
      <c r="AV32" s="75">
        <f t="shared" si="19"/>
        <v>0</v>
      </c>
    </row>
    <row r="33" spans="1:48" ht="12.75" customHeight="1">
      <c r="A33" s="219" t="str">
        <f>CASHFLOW!A151</f>
        <v xml:space="preserve">      Accrued Taxes, other than income</v>
      </c>
      <c r="B33" s="63"/>
      <c r="C33" s="63"/>
      <c r="D33" s="221">
        <v>0</v>
      </c>
      <c r="E33" s="221">
        <v>0</v>
      </c>
      <c r="F33" s="221">
        <v>0</v>
      </c>
      <c r="G33" s="221">
        <v>0</v>
      </c>
      <c r="H33" s="221">
        <v>0</v>
      </c>
      <c r="I33" s="221">
        <v>0</v>
      </c>
      <c r="J33" s="221">
        <v>0</v>
      </c>
      <c r="K33" s="221">
        <v>0</v>
      </c>
      <c r="L33" s="221">
        <v>0</v>
      </c>
      <c r="M33" s="221">
        <v>0</v>
      </c>
      <c r="N33" s="221">
        <v>0</v>
      </c>
      <c r="O33" s="221">
        <v>0</v>
      </c>
      <c r="P33" s="75">
        <f t="shared" si="20"/>
        <v>0</v>
      </c>
      <c r="Q33" s="76">
        <f t="shared" si="16"/>
        <v>0</v>
      </c>
      <c r="R33" s="75">
        <f t="shared" si="21"/>
        <v>0</v>
      </c>
      <c r="S33" s="75"/>
      <c r="T33" s="76">
        <v>0</v>
      </c>
      <c r="U33" s="76">
        <v>0</v>
      </c>
      <c r="V33" s="75">
        <f t="shared" si="17"/>
        <v>0</v>
      </c>
      <c r="W33" s="63"/>
      <c r="X33" s="63"/>
      <c r="Y33" s="63"/>
      <c r="Z33" s="63"/>
      <c r="AA33" s="63" t="str">
        <f t="shared" si="15"/>
        <v xml:space="preserve">      Accrued Taxes, other than income</v>
      </c>
      <c r="AB33" s="63"/>
      <c r="AC33" s="63"/>
      <c r="AD33" s="108">
        <f>CASHFLOW!D151-'CF-Partnership, NNG &amp; 53K'!D33</f>
        <v>-896</v>
      </c>
      <c r="AE33" s="108">
        <f>CASHFLOW!E151-'CF-Partnership, NNG &amp; 53K'!E33</f>
        <v>4102</v>
      </c>
      <c r="AF33" s="108">
        <f>CASHFLOW!F151-'CF-Partnership, NNG &amp; 53K'!F33</f>
        <v>-1420</v>
      </c>
      <c r="AG33" s="108">
        <f>CASHFLOW!G151-'CF-Partnership, NNG &amp; 53K'!G33</f>
        <v>1757</v>
      </c>
      <c r="AH33" s="108">
        <f>CASHFLOW!H151-'CF-Partnership, NNG &amp; 53K'!H33</f>
        <v>-3621</v>
      </c>
      <c r="AI33" s="108">
        <f>CASHFLOW!I151-'CF-Partnership, NNG &amp; 53K'!I33</f>
        <v>-1874</v>
      </c>
      <c r="AJ33" s="108">
        <f>CASHFLOW!J151-'CF-Partnership, NNG &amp; 53K'!J33</f>
        <v>2393</v>
      </c>
      <c r="AK33" s="108">
        <f>CASHFLOW!K151-'CF-Partnership, NNG &amp; 53K'!K33</f>
        <v>1781</v>
      </c>
      <c r="AL33" s="108">
        <f>CASHFLOW!L151-'CF-Partnership, NNG &amp; 53K'!L33</f>
        <v>-558</v>
      </c>
      <c r="AM33" s="108">
        <f>CASHFLOW!M151-'CF-Partnership, NNG &amp; 53K'!M33</f>
        <v>234</v>
      </c>
      <c r="AN33" s="108">
        <f>CASHFLOW!N151-'CF-Partnership, NNG &amp; 53K'!N33</f>
        <v>1884</v>
      </c>
      <c r="AO33" s="108">
        <f>CASHFLOW!O151-'CF-Partnership, NNG &amp; 53K'!O33</f>
        <v>-2829</v>
      </c>
      <c r="AP33" s="75">
        <f t="shared" si="22"/>
        <v>953</v>
      </c>
      <c r="AQ33" s="76">
        <f t="shared" si="18"/>
        <v>441</v>
      </c>
      <c r="AR33" s="75">
        <f t="shared" si="23"/>
        <v>512</v>
      </c>
      <c r="AS33" s="75"/>
      <c r="AT33" s="76">
        <v>0</v>
      </c>
      <c r="AU33" s="76">
        <v>0</v>
      </c>
      <c r="AV33" s="75">
        <f t="shared" si="19"/>
        <v>0</v>
      </c>
    </row>
    <row r="34" spans="1:48" ht="12.75" customHeight="1">
      <c r="A34" s="219" t="str">
        <f>CASHFLOW!A152</f>
        <v xml:space="preserve">      Tax Refunds / Payments</v>
      </c>
      <c r="B34" s="63"/>
      <c r="C34" s="63"/>
      <c r="D34" s="221">
        <v>0</v>
      </c>
      <c r="E34" s="221">
        <v>0</v>
      </c>
      <c r="F34" s="221">
        <v>0</v>
      </c>
      <c r="G34" s="221">
        <v>0</v>
      </c>
      <c r="H34" s="221">
        <v>0</v>
      </c>
      <c r="I34" s="221">
        <v>0</v>
      </c>
      <c r="J34" s="221">
        <v>0</v>
      </c>
      <c r="K34" s="221">
        <v>0</v>
      </c>
      <c r="L34" s="221">
        <v>0</v>
      </c>
      <c r="M34" s="221">
        <v>0</v>
      </c>
      <c r="N34" s="221">
        <v>0</v>
      </c>
      <c r="O34" s="221">
        <v>0</v>
      </c>
      <c r="P34" s="75">
        <f t="shared" si="20"/>
        <v>0</v>
      </c>
      <c r="Q34" s="76">
        <f t="shared" si="16"/>
        <v>0</v>
      </c>
      <c r="R34" s="75">
        <f t="shared" si="21"/>
        <v>0</v>
      </c>
      <c r="S34" s="75"/>
      <c r="T34" s="76">
        <v>0</v>
      </c>
      <c r="U34" s="76">
        <v>0</v>
      </c>
      <c r="V34" s="75">
        <f t="shared" si="17"/>
        <v>0</v>
      </c>
      <c r="W34" s="63"/>
      <c r="X34" s="63"/>
      <c r="Y34" s="63"/>
      <c r="Z34" s="63"/>
      <c r="AA34" s="63" t="str">
        <f t="shared" si="15"/>
        <v xml:space="preserve">      Tax Refunds / Payments</v>
      </c>
      <c r="AB34" s="63"/>
      <c r="AC34" s="63"/>
      <c r="AD34" s="108">
        <f>CASHFLOW!D152-'CF-Partnership, NNG &amp; 53K'!D34</f>
        <v>0</v>
      </c>
      <c r="AE34" s="108">
        <f>CASHFLOW!E152-'CF-Partnership, NNG &amp; 53K'!E34</f>
        <v>0</v>
      </c>
      <c r="AF34" s="108">
        <f>CASHFLOW!F152-'CF-Partnership, NNG &amp; 53K'!F34</f>
        <v>0</v>
      </c>
      <c r="AG34" s="108">
        <f>CASHFLOW!G152-'CF-Partnership, NNG &amp; 53K'!G34</f>
        <v>0</v>
      </c>
      <c r="AH34" s="108">
        <f>CASHFLOW!H152-'CF-Partnership, NNG &amp; 53K'!H34</f>
        <v>0</v>
      </c>
      <c r="AI34" s="108">
        <f>CASHFLOW!I152-'CF-Partnership, NNG &amp; 53K'!I34</f>
        <v>0</v>
      </c>
      <c r="AJ34" s="108">
        <f>CASHFLOW!J152-'CF-Partnership, NNG &amp; 53K'!J34</f>
        <v>0</v>
      </c>
      <c r="AK34" s="108">
        <f>CASHFLOW!K152-'CF-Partnership, NNG &amp; 53K'!K34</f>
        <v>0</v>
      </c>
      <c r="AL34" s="108">
        <f>CASHFLOW!L152-'CF-Partnership, NNG &amp; 53K'!L34</f>
        <v>0</v>
      </c>
      <c r="AM34" s="108">
        <f>CASHFLOW!M152-'CF-Partnership, NNG &amp; 53K'!M34</f>
        <v>0</v>
      </c>
      <c r="AN34" s="108">
        <f>CASHFLOW!N152-'CF-Partnership, NNG &amp; 53K'!N34</f>
        <v>0</v>
      </c>
      <c r="AO34" s="108">
        <f>CASHFLOW!O152-'CF-Partnership, NNG &amp; 53K'!O34</f>
        <v>0</v>
      </c>
      <c r="AP34" s="75">
        <f t="shared" si="22"/>
        <v>0</v>
      </c>
      <c r="AQ34" s="76">
        <f t="shared" si="18"/>
        <v>0</v>
      </c>
      <c r="AR34" s="75">
        <f t="shared" si="23"/>
        <v>0</v>
      </c>
      <c r="AS34" s="75"/>
      <c r="AT34" s="76">
        <v>0</v>
      </c>
      <c r="AU34" s="76">
        <v>0</v>
      </c>
      <c r="AV34" s="75">
        <f t="shared" si="19"/>
        <v>0</v>
      </c>
    </row>
    <row r="35" spans="1:48" ht="12.75" customHeight="1">
      <c r="A35" s="219" t="str">
        <f>CASHFLOW!A153</f>
        <v xml:space="preserve">      Other (Including Inventory and Prepayments)</v>
      </c>
      <c r="B35" s="63"/>
      <c r="C35" s="63"/>
      <c r="D35" s="222">
        <v>0</v>
      </c>
      <c r="E35" s="222">
        <v>0</v>
      </c>
      <c r="F35" s="222">
        <v>0</v>
      </c>
      <c r="G35" s="222">
        <v>0</v>
      </c>
      <c r="H35" s="222">
        <v>0</v>
      </c>
      <c r="I35" s="222">
        <v>0</v>
      </c>
      <c r="J35" s="222">
        <v>0</v>
      </c>
      <c r="K35" s="222">
        <v>0</v>
      </c>
      <c r="L35" s="222">
        <v>0</v>
      </c>
      <c r="M35" s="222">
        <v>0</v>
      </c>
      <c r="N35" s="222">
        <v>0</v>
      </c>
      <c r="O35" s="222">
        <v>0</v>
      </c>
      <c r="P35" s="80">
        <f t="shared" si="20"/>
        <v>0</v>
      </c>
      <c r="Q35" s="99">
        <f t="shared" si="16"/>
        <v>0</v>
      </c>
      <c r="R35" s="80">
        <f t="shared" si="21"/>
        <v>0</v>
      </c>
      <c r="S35" s="80"/>
      <c r="T35" s="222">
        <v>0</v>
      </c>
      <c r="U35" s="222">
        <v>0</v>
      </c>
      <c r="V35" s="109">
        <f t="shared" si="17"/>
        <v>0</v>
      </c>
      <c r="W35" s="63"/>
      <c r="X35" s="63"/>
      <c r="Y35" s="63"/>
      <c r="Z35" s="63"/>
      <c r="AA35" s="63" t="str">
        <f t="shared" si="15"/>
        <v xml:space="preserve">      Other (Including Inventory and Prepayments)</v>
      </c>
      <c r="AB35" s="63"/>
      <c r="AC35" s="63"/>
      <c r="AD35" s="109">
        <f>CASHFLOW!D153-'CF-Partnership, NNG &amp; 53K'!D35</f>
        <v>4103</v>
      </c>
      <c r="AE35" s="109">
        <f>CASHFLOW!E153-'CF-Partnership, NNG &amp; 53K'!E35</f>
        <v>-11219</v>
      </c>
      <c r="AF35" s="109">
        <f>CASHFLOW!F153-'CF-Partnership, NNG &amp; 53K'!F35</f>
        <v>6362</v>
      </c>
      <c r="AG35" s="109">
        <f>CASHFLOW!G153-'CF-Partnership, NNG &amp; 53K'!G35</f>
        <v>-1327</v>
      </c>
      <c r="AH35" s="109">
        <f>CASHFLOW!H153-'CF-Partnership, NNG &amp; 53K'!H35</f>
        <v>-2413</v>
      </c>
      <c r="AI35" s="109">
        <f>CASHFLOW!I153-'CF-Partnership, NNG &amp; 53K'!I35</f>
        <v>926</v>
      </c>
      <c r="AJ35" s="109">
        <f>CASHFLOW!J153-'CF-Partnership, NNG &amp; 53K'!J35</f>
        <v>-2671</v>
      </c>
      <c r="AK35" s="109">
        <f>CASHFLOW!K153-'CF-Partnership, NNG &amp; 53K'!K35</f>
        <v>485</v>
      </c>
      <c r="AL35" s="109">
        <f>CASHFLOW!L153-'CF-Partnership, NNG &amp; 53K'!L35</f>
        <v>-2382</v>
      </c>
      <c r="AM35" s="109">
        <f>CASHFLOW!M153-'CF-Partnership, NNG &amp; 53K'!M35</f>
        <v>596</v>
      </c>
      <c r="AN35" s="109">
        <f>CASHFLOW!N153-'CF-Partnership, NNG &amp; 53K'!N35</f>
        <v>1096</v>
      </c>
      <c r="AO35" s="109">
        <f>CASHFLOW!O153-'CF-Partnership, NNG &amp; 53K'!O35</f>
        <v>-10733</v>
      </c>
      <c r="AP35" s="80">
        <f t="shared" si="22"/>
        <v>-17177</v>
      </c>
      <c r="AQ35" s="99">
        <f t="shared" si="18"/>
        <v>-6239</v>
      </c>
      <c r="AR35" s="80">
        <f t="shared" si="23"/>
        <v>-10938</v>
      </c>
      <c r="AS35" s="80"/>
      <c r="AT35" s="222">
        <v>0</v>
      </c>
      <c r="AU35" s="222">
        <v>0</v>
      </c>
      <c r="AV35" s="109">
        <f t="shared" si="19"/>
        <v>0</v>
      </c>
    </row>
    <row r="36" spans="1:48" ht="3.95" customHeight="1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</row>
    <row r="37" spans="1:48" ht="12.75" customHeight="1">
      <c r="A37" s="219" t="str">
        <f>CASHFLOW!A155</f>
        <v xml:space="preserve">            Total Working Capital Changes</v>
      </c>
      <c r="B37" s="63"/>
      <c r="C37" s="63"/>
      <c r="D37" s="109">
        <f t="shared" ref="D37:R37" si="24">SUM(D28:D35)</f>
        <v>0</v>
      </c>
      <c r="E37" s="109">
        <f t="shared" si="24"/>
        <v>0</v>
      </c>
      <c r="F37" s="109">
        <f t="shared" si="24"/>
        <v>0</v>
      </c>
      <c r="G37" s="109">
        <f t="shared" si="24"/>
        <v>0</v>
      </c>
      <c r="H37" s="109">
        <f t="shared" si="24"/>
        <v>0</v>
      </c>
      <c r="I37" s="109">
        <f t="shared" si="24"/>
        <v>0</v>
      </c>
      <c r="J37" s="109">
        <f t="shared" si="24"/>
        <v>0</v>
      </c>
      <c r="K37" s="109">
        <f t="shared" si="24"/>
        <v>0</v>
      </c>
      <c r="L37" s="109">
        <f t="shared" si="24"/>
        <v>0</v>
      </c>
      <c r="M37" s="109">
        <f t="shared" si="24"/>
        <v>0</v>
      </c>
      <c r="N37" s="109">
        <f t="shared" si="24"/>
        <v>0</v>
      </c>
      <c r="O37" s="109">
        <f t="shared" si="24"/>
        <v>0</v>
      </c>
      <c r="P37" s="109">
        <f t="shared" si="24"/>
        <v>0</v>
      </c>
      <c r="Q37" s="109">
        <f t="shared" si="24"/>
        <v>0</v>
      </c>
      <c r="R37" s="109">
        <f t="shared" si="24"/>
        <v>0</v>
      </c>
      <c r="S37" s="109"/>
      <c r="T37" s="109">
        <f>SUM(T28:T35)</f>
        <v>0</v>
      </c>
      <c r="U37" s="109">
        <f>SUM(U28:U35)</f>
        <v>0</v>
      </c>
      <c r="V37" s="109">
        <f>SUM(V28:V35)</f>
        <v>0</v>
      </c>
      <c r="W37" s="63"/>
      <c r="X37" s="63"/>
      <c r="Y37" s="63"/>
      <c r="Z37" s="63"/>
      <c r="AA37" s="63" t="str">
        <f t="shared" si="15"/>
        <v xml:space="preserve">            Total Working Capital Changes</v>
      </c>
      <c r="AB37" s="63"/>
      <c r="AC37" s="63"/>
      <c r="AD37" s="109">
        <f t="shared" ref="AD37:AO37" si="25">SUM(AD28:AD35)</f>
        <v>52965</v>
      </c>
      <c r="AE37" s="109">
        <f t="shared" si="25"/>
        <v>-44067</v>
      </c>
      <c r="AF37" s="109">
        <f t="shared" si="25"/>
        <v>-6731</v>
      </c>
      <c r="AG37" s="109">
        <f t="shared" si="25"/>
        <v>12272</v>
      </c>
      <c r="AH37" s="109">
        <f t="shared" si="25"/>
        <v>218</v>
      </c>
      <c r="AI37" s="109">
        <f t="shared" si="25"/>
        <v>-17032</v>
      </c>
      <c r="AJ37" s="109">
        <f t="shared" si="25"/>
        <v>5381</v>
      </c>
      <c r="AK37" s="109">
        <f t="shared" si="25"/>
        <v>8364</v>
      </c>
      <c r="AL37" s="109">
        <f t="shared" si="25"/>
        <v>-1428</v>
      </c>
      <c r="AM37" s="109">
        <f t="shared" si="25"/>
        <v>329</v>
      </c>
      <c r="AN37" s="109">
        <f t="shared" si="25"/>
        <v>-32511</v>
      </c>
      <c r="AO37" s="109">
        <f t="shared" si="25"/>
        <v>-21766</v>
      </c>
      <c r="AP37" s="109">
        <f>SUM(AP28:AP35)</f>
        <v>-44006</v>
      </c>
      <c r="AQ37" s="109">
        <f>SUM(AQ28:AQ35)</f>
        <v>3006</v>
      </c>
      <c r="AR37" s="109">
        <f>SUM(AR28:AR35)</f>
        <v>-47012</v>
      </c>
      <c r="AS37" s="109"/>
      <c r="AT37" s="109">
        <f>SUM(AT28:AT35)</f>
        <v>0</v>
      </c>
      <c r="AU37" s="109">
        <f>SUM(AU28:AU35)</f>
        <v>0</v>
      </c>
      <c r="AV37" s="109">
        <f>SUM(AV28:AV35)</f>
        <v>0</v>
      </c>
    </row>
    <row r="38" spans="1:48" ht="6" customHeight="1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</row>
    <row r="39" spans="1:48" ht="12.75" customHeight="1">
      <c r="A39" s="219" t="str">
        <f>CASHFLOW!A157</f>
        <v>TOTAL CASH FLOW FROM OPERATING ACTIVITIES</v>
      </c>
      <c r="B39" s="63"/>
      <c r="C39" s="63"/>
      <c r="D39" s="108">
        <f t="shared" ref="D39:R39" si="26">D25+D37</f>
        <v>-268</v>
      </c>
      <c r="E39" s="108">
        <f t="shared" si="26"/>
        <v>-199</v>
      </c>
      <c r="F39" s="108">
        <f t="shared" si="26"/>
        <v>605</v>
      </c>
      <c r="G39" s="108">
        <f t="shared" si="26"/>
        <v>-534</v>
      </c>
      <c r="H39" s="108">
        <f t="shared" si="26"/>
        <v>-195</v>
      </c>
      <c r="I39" s="108">
        <f t="shared" si="26"/>
        <v>3563</v>
      </c>
      <c r="J39" s="108">
        <f t="shared" si="26"/>
        <v>-202</v>
      </c>
      <c r="K39" s="108">
        <f t="shared" si="26"/>
        <v>1822</v>
      </c>
      <c r="L39" s="108">
        <f t="shared" si="26"/>
        <v>603</v>
      </c>
      <c r="M39" s="108">
        <f t="shared" si="26"/>
        <v>-238</v>
      </c>
      <c r="N39" s="108">
        <f t="shared" si="26"/>
        <v>-252</v>
      </c>
      <c r="O39" s="108">
        <f t="shared" si="26"/>
        <v>798</v>
      </c>
      <c r="P39" s="108">
        <f t="shared" si="26"/>
        <v>5503</v>
      </c>
      <c r="Q39" s="108">
        <f t="shared" si="26"/>
        <v>2770</v>
      </c>
      <c r="R39" s="108">
        <f t="shared" si="26"/>
        <v>2733</v>
      </c>
      <c r="S39" s="108"/>
      <c r="T39" s="108">
        <f>T25+T37</f>
        <v>0</v>
      </c>
      <c r="U39" s="108">
        <f>U25+U37</f>
        <v>0</v>
      </c>
      <c r="V39" s="108">
        <f>V25+V37</f>
        <v>0</v>
      </c>
      <c r="W39" s="63"/>
      <c r="X39" s="63"/>
      <c r="Y39" s="63"/>
      <c r="Z39" s="63"/>
      <c r="AA39" s="63" t="str">
        <f t="shared" si="15"/>
        <v>TOTAL CASH FLOW FROM OPERATING ACTIVITIES</v>
      </c>
      <c r="AB39" s="63"/>
      <c r="AC39" s="63"/>
      <c r="AD39" s="108">
        <f t="shared" ref="AD39:AO39" si="27">AD25+AD37</f>
        <v>77723</v>
      </c>
      <c r="AE39" s="108">
        <f t="shared" si="27"/>
        <v>-18622</v>
      </c>
      <c r="AF39" s="108">
        <f t="shared" si="27"/>
        <v>10193</v>
      </c>
      <c r="AG39" s="108">
        <f t="shared" si="27"/>
        <v>42996</v>
      </c>
      <c r="AH39" s="108">
        <f t="shared" si="27"/>
        <v>10964</v>
      </c>
      <c r="AI39" s="108">
        <f t="shared" si="27"/>
        <v>-11591</v>
      </c>
      <c r="AJ39" s="108">
        <f t="shared" si="27"/>
        <v>14444</v>
      </c>
      <c r="AK39" s="108">
        <f t="shared" si="27"/>
        <v>18123</v>
      </c>
      <c r="AL39" s="108">
        <f t="shared" si="27"/>
        <v>5397</v>
      </c>
      <c r="AM39" s="108">
        <f t="shared" si="27"/>
        <v>-7401</v>
      </c>
      <c r="AN39" s="108">
        <f t="shared" si="27"/>
        <v>-12789</v>
      </c>
      <c r="AO39" s="108">
        <f t="shared" si="27"/>
        <v>-12828</v>
      </c>
      <c r="AP39" s="108">
        <f>AP25+AP37</f>
        <v>116609</v>
      </c>
      <c r="AQ39" s="108">
        <f>AQ25+AQ37</f>
        <v>126107</v>
      </c>
      <c r="AR39" s="108">
        <f>AR25+AR37</f>
        <v>-9498</v>
      </c>
      <c r="AS39" s="108"/>
      <c r="AT39" s="108">
        <f>AT25+AT37</f>
        <v>0</v>
      </c>
      <c r="AU39" s="108">
        <f>AU25+AU37</f>
        <v>0</v>
      </c>
      <c r="AV39" s="108">
        <f>AV25+AV37</f>
        <v>0</v>
      </c>
    </row>
    <row r="40" spans="1:48" ht="6" customHeight="1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</row>
    <row r="41" spans="1:48" ht="12.75" customHeight="1">
      <c r="A41" s="220" t="str">
        <f>CASHFLOW!A159</f>
        <v>CASH FLOW FROM INVESTING ACTIVITIES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 t="str">
        <f t="shared" si="15"/>
        <v>CASH FLOW FROM INVESTING ACTIVITIES</v>
      </c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</row>
    <row r="42" spans="1:48" ht="12.75" customHeight="1">
      <c r="A42" s="219" t="str">
        <f>CASHFLOW!A160</f>
        <v xml:space="preserve">   Proceeds from Sale (Various)</v>
      </c>
      <c r="B42" s="63"/>
      <c r="C42" s="63"/>
      <c r="D42" s="221">
        <v>0</v>
      </c>
      <c r="E42" s="221">
        <v>0</v>
      </c>
      <c r="F42" s="221">
        <v>0</v>
      </c>
      <c r="G42" s="221">
        <v>0</v>
      </c>
      <c r="H42" s="221">
        <v>0</v>
      </c>
      <c r="I42" s="221">
        <v>0</v>
      </c>
      <c r="J42" s="221">
        <v>0</v>
      </c>
      <c r="K42" s="221">
        <v>0</v>
      </c>
      <c r="L42" s="221">
        <v>0</v>
      </c>
      <c r="M42" s="221">
        <v>0</v>
      </c>
      <c r="N42" s="221">
        <v>0</v>
      </c>
      <c r="O42" s="221">
        <v>0</v>
      </c>
      <c r="P42" s="75">
        <f>SUM(D42:O42)</f>
        <v>0</v>
      </c>
      <c r="Q42" s="76">
        <f>SUM(D42:J42)</f>
        <v>0</v>
      </c>
      <c r="R42" s="75">
        <f>P42-Q42</f>
        <v>0</v>
      </c>
      <c r="S42" s="75"/>
      <c r="T42" s="221">
        <v>0</v>
      </c>
      <c r="U42" s="221">
        <v>0</v>
      </c>
      <c r="V42" s="108">
        <f>T42-U42</f>
        <v>0</v>
      </c>
      <c r="W42" s="63"/>
      <c r="X42" s="63"/>
      <c r="Y42" s="63"/>
      <c r="Z42" s="63"/>
      <c r="AA42" s="63" t="str">
        <f t="shared" si="15"/>
        <v xml:space="preserve">   Proceeds from Sale (Various)</v>
      </c>
      <c r="AB42" s="63"/>
      <c r="AC42" s="63"/>
      <c r="AD42" s="108">
        <f>CASHFLOW!D160-'CF-Partnership, NNG &amp; 53K'!D42</f>
        <v>0</v>
      </c>
      <c r="AE42" s="108">
        <f>CASHFLOW!E160-'CF-Partnership, NNG &amp; 53K'!E42</f>
        <v>0</v>
      </c>
      <c r="AF42" s="108">
        <f>CASHFLOW!F160-'CF-Partnership, NNG &amp; 53K'!F42</f>
        <v>0</v>
      </c>
      <c r="AG42" s="108">
        <f>CASHFLOW!G160-'CF-Partnership, NNG &amp; 53K'!G42</f>
        <v>0</v>
      </c>
      <c r="AH42" s="108">
        <f>CASHFLOW!H160-'CF-Partnership, NNG &amp; 53K'!H42</f>
        <v>0</v>
      </c>
      <c r="AI42" s="108">
        <f>CASHFLOW!I160-'CF-Partnership, NNG &amp; 53K'!I42</f>
        <v>3353</v>
      </c>
      <c r="AJ42" s="108">
        <f>CASHFLOW!J160-'CF-Partnership, NNG &amp; 53K'!J42</f>
        <v>0</v>
      </c>
      <c r="AK42" s="108">
        <f>CASHFLOW!K160-'CF-Partnership, NNG &amp; 53K'!K42</f>
        <v>0</v>
      </c>
      <c r="AL42" s="108">
        <f>CASHFLOW!L160-'CF-Partnership, NNG &amp; 53K'!L42</f>
        <v>0</v>
      </c>
      <c r="AM42" s="108">
        <f>CASHFLOW!M160-'CF-Partnership, NNG &amp; 53K'!M42</f>
        <v>0</v>
      </c>
      <c r="AN42" s="108">
        <f>CASHFLOW!N160-'CF-Partnership, NNG &amp; 53K'!N42</f>
        <v>0</v>
      </c>
      <c r="AO42" s="108">
        <f>CASHFLOW!O160-'CF-Partnership, NNG &amp; 53K'!O42</f>
        <v>2300</v>
      </c>
      <c r="AP42" s="75">
        <f>SUM(AD42:AO42)</f>
        <v>5653</v>
      </c>
      <c r="AQ42" s="76">
        <f>SUM(AD42:AJ42)</f>
        <v>3353</v>
      </c>
      <c r="AR42" s="75">
        <f>AP42-AQ42</f>
        <v>2300</v>
      </c>
      <c r="AS42" s="75"/>
      <c r="AT42" s="221">
        <v>0</v>
      </c>
      <c r="AU42" s="221">
        <v>0</v>
      </c>
      <c r="AV42" s="108">
        <f>AT42-AU42</f>
        <v>0</v>
      </c>
    </row>
    <row r="43" spans="1:48" ht="12.75" customHeight="1">
      <c r="A43" s="219" t="str">
        <f>CASHFLOW!A161</f>
        <v xml:space="preserve">   Additions to Property </v>
      </c>
      <c r="B43" s="63"/>
      <c r="C43" s="63"/>
      <c r="D43" s="221">
        <v>0</v>
      </c>
      <c r="E43" s="221">
        <v>0</v>
      </c>
      <c r="F43" s="221">
        <v>0</v>
      </c>
      <c r="G43" s="221">
        <v>0</v>
      </c>
      <c r="H43" s="221">
        <v>0</v>
      </c>
      <c r="I43" s="221">
        <v>0</v>
      </c>
      <c r="J43" s="221">
        <v>0</v>
      </c>
      <c r="K43" s="221">
        <v>0</v>
      </c>
      <c r="L43" s="221">
        <v>0</v>
      </c>
      <c r="M43" s="221">
        <v>0</v>
      </c>
      <c r="N43" s="221">
        <v>0</v>
      </c>
      <c r="O43" s="221">
        <v>0</v>
      </c>
      <c r="P43" s="75">
        <f>SUM(D43:O43)</f>
        <v>0</v>
      </c>
      <c r="Q43" s="76">
        <f>SUM(D43:J43)</f>
        <v>0</v>
      </c>
      <c r="R43" s="75">
        <f>P43-Q43</f>
        <v>0</v>
      </c>
      <c r="S43" s="75"/>
      <c r="T43" s="76">
        <v>0</v>
      </c>
      <c r="U43" s="76">
        <v>0</v>
      </c>
      <c r="V43" s="75">
        <f>T43-U43</f>
        <v>0</v>
      </c>
      <c r="W43" s="63"/>
      <c r="X43" s="63"/>
      <c r="Y43" s="63"/>
      <c r="Z43" s="63"/>
      <c r="AA43" s="63" t="str">
        <f t="shared" si="15"/>
        <v xml:space="preserve">   Additions to Property </v>
      </c>
      <c r="AB43" s="63"/>
      <c r="AC43" s="63"/>
      <c r="AD43" s="108">
        <f>CASHFLOW!D161-'CF-Partnership, NNG &amp; 53K'!D43</f>
        <v>-280</v>
      </c>
      <c r="AE43" s="108">
        <f>CASHFLOW!E161-'CF-Partnership, NNG &amp; 53K'!E43</f>
        <v>861</v>
      </c>
      <c r="AF43" s="108">
        <f>CASHFLOW!F161-'CF-Partnership, NNG &amp; 53K'!F43</f>
        <v>-3798</v>
      </c>
      <c r="AG43" s="108">
        <f>CASHFLOW!G161-'CF-Partnership, NNG &amp; 53K'!G43</f>
        <v>-4249</v>
      </c>
      <c r="AH43" s="108">
        <f>CASHFLOW!H161-'CF-Partnership, NNG &amp; 53K'!H43</f>
        <v>-3725</v>
      </c>
      <c r="AI43" s="108">
        <f>CASHFLOW!I161-'CF-Partnership, NNG &amp; 53K'!I43</f>
        <v>-932</v>
      </c>
      <c r="AJ43" s="108">
        <f>CASHFLOW!J161-'CF-Partnership, NNG &amp; 53K'!J43</f>
        <v>-5769</v>
      </c>
      <c r="AK43" s="108">
        <f>CASHFLOW!K161-'CF-Partnership, NNG &amp; 53K'!K43</f>
        <v>-10518</v>
      </c>
      <c r="AL43" s="108">
        <f>CASHFLOW!L161-'CF-Partnership, NNG &amp; 53K'!L43</f>
        <v>-11400</v>
      </c>
      <c r="AM43" s="108">
        <f>CASHFLOW!M161-'CF-Partnership, NNG &amp; 53K'!M43</f>
        <v>-12961</v>
      </c>
      <c r="AN43" s="108">
        <f>CASHFLOW!N161-'CF-Partnership, NNG &amp; 53K'!N43</f>
        <v>-12959</v>
      </c>
      <c r="AO43" s="108">
        <f>CASHFLOW!O161-'CF-Partnership, NNG &amp; 53K'!O43</f>
        <v>-8570</v>
      </c>
      <c r="AP43" s="75">
        <f>SUM(AD43:AO43)</f>
        <v>-74300</v>
      </c>
      <c r="AQ43" s="76">
        <f>SUM(AD43:AJ43)</f>
        <v>-17892</v>
      </c>
      <c r="AR43" s="75">
        <f>AP43-AQ43</f>
        <v>-56408</v>
      </c>
      <c r="AS43" s="75"/>
      <c r="AT43" s="76">
        <v>0</v>
      </c>
      <c r="AU43" s="76">
        <v>0</v>
      </c>
      <c r="AV43" s="75">
        <f>AT43-AU43</f>
        <v>0</v>
      </c>
    </row>
    <row r="44" spans="1:48" ht="12.75" customHeight="1">
      <c r="A44" s="219" t="str">
        <f>CASHFLOW!A162</f>
        <v xml:space="preserve">   Other Capital Expenditures</v>
      </c>
      <c r="B44" s="63"/>
      <c r="C44" s="63"/>
      <c r="D44" s="221">
        <v>0</v>
      </c>
      <c r="E44" s="221">
        <v>0</v>
      </c>
      <c r="F44" s="221">
        <v>0</v>
      </c>
      <c r="G44" s="221">
        <v>0</v>
      </c>
      <c r="H44" s="221">
        <v>0</v>
      </c>
      <c r="I44" s="221">
        <v>0</v>
      </c>
      <c r="J44" s="221">
        <v>0</v>
      </c>
      <c r="K44" s="221">
        <v>0</v>
      </c>
      <c r="L44" s="221">
        <v>0</v>
      </c>
      <c r="M44" s="221">
        <v>0</v>
      </c>
      <c r="N44" s="221">
        <v>0</v>
      </c>
      <c r="O44" s="221">
        <v>0</v>
      </c>
      <c r="P44" s="75">
        <f>SUM(D44:O44)</f>
        <v>0</v>
      </c>
      <c r="Q44" s="76">
        <f>SUM(D44:J44)</f>
        <v>0</v>
      </c>
      <c r="R44" s="75">
        <f>P44-Q44</f>
        <v>0</v>
      </c>
      <c r="S44" s="75"/>
      <c r="T44" s="76">
        <v>0</v>
      </c>
      <c r="U44" s="76">
        <v>0</v>
      </c>
      <c r="V44" s="75">
        <f>T44-U44</f>
        <v>0</v>
      </c>
      <c r="W44" s="63"/>
      <c r="X44" s="63"/>
      <c r="Y44" s="63"/>
      <c r="Z44" s="63"/>
      <c r="AA44" s="63" t="str">
        <f t="shared" si="15"/>
        <v xml:space="preserve">   Other Capital Expenditures</v>
      </c>
      <c r="AB44" s="63"/>
      <c r="AC44" s="63"/>
      <c r="AD44" s="108">
        <f>CASHFLOW!D162-'CF-Partnership, NNG &amp; 53K'!D44</f>
        <v>-45815</v>
      </c>
      <c r="AE44" s="108">
        <f>CASHFLOW!E162-'CF-Partnership, NNG &amp; 53K'!E44</f>
        <v>-11147</v>
      </c>
      <c r="AF44" s="108">
        <f>CASHFLOW!F162-'CF-Partnership, NNG &amp; 53K'!F44</f>
        <v>1541</v>
      </c>
      <c r="AG44" s="108">
        <f>CASHFLOW!G162-'CF-Partnership, NNG &amp; 53K'!G44</f>
        <v>9352</v>
      </c>
      <c r="AH44" s="108">
        <f>CASHFLOW!H162-'CF-Partnership, NNG &amp; 53K'!H44</f>
        <v>4793</v>
      </c>
      <c r="AI44" s="108">
        <f>CASHFLOW!I162-'CF-Partnership, NNG &amp; 53K'!I44</f>
        <v>4071</v>
      </c>
      <c r="AJ44" s="108">
        <f>CASHFLOW!J162-'CF-Partnership, NNG &amp; 53K'!J44</f>
        <v>3220</v>
      </c>
      <c r="AK44" s="108">
        <f>CASHFLOW!K162-'CF-Partnership, NNG &amp; 53K'!K44</f>
        <v>2022</v>
      </c>
      <c r="AL44" s="108">
        <f>CASHFLOW!L162-'CF-Partnership, NNG &amp; 53K'!L44</f>
        <v>0</v>
      </c>
      <c r="AM44" s="108">
        <f>CASHFLOW!M162-'CF-Partnership, NNG &amp; 53K'!M44</f>
        <v>4000</v>
      </c>
      <c r="AN44" s="108">
        <f>CASHFLOW!N162-'CF-Partnership, NNG &amp; 53K'!N44</f>
        <v>4000</v>
      </c>
      <c r="AO44" s="108">
        <f>CASHFLOW!O162-'CF-Partnership, NNG &amp; 53K'!O44</f>
        <v>4000</v>
      </c>
      <c r="AP44" s="75">
        <f>SUM(AD44:AO44)</f>
        <v>-19963</v>
      </c>
      <c r="AQ44" s="76">
        <f>SUM(AD44:AJ44)</f>
        <v>-33985</v>
      </c>
      <c r="AR44" s="75">
        <f>AP44-AQ44</f>
        <v>14022</v>
      </c>
      <c r="AS44" s="75"/>
      <c r="AT44" s="76">
        <v>0</v>
      </c>
      <c r="AU44" s="76">
        <v>0</v>
      </c>
      <c r="AV44" s="75">
        <f>AT44-AU44</f>
        <v>0</v>
      </c>
    </row>
    <row r="45" spans="1:48" ht="12.75" customHeight="1">
      <c r="A45" s="219" t="str">
        <f>CASHFLOW!A163</f>
        <v xml:space="preserve">   Other Investments (McDay Energy / Misc.)</v>
      </c>
      <c r="B45" s="63"/>
      <c r="C45" s="63"/>
      <c r="D45" s="221">
        <v>0</v>
      </c>
      <c r="E45" s="221">
        <v>0</v>
      </c>
      <c r="F45" s="221">
        <v>0</v>
      </c>
      <c r="G45" s="221">
        <v>0</v>
      </c>
      <c r="H45" s="221">
        <v>0</v>
      </c>
      <c r="I45" s="221">
        <v>0</v>
      </c>
      <c r="J45" s="221">
        <v>0</v>
      </c>
      <c r="K45" s="221">
        <v>0</v>
      </c>
      <c r="L45" s="221">
        <v>0</v>
      </c>
      <c r="M45" s="221">
        <v>0</v>
      </c>
      <c r="N45" s="221">
        <v>0</v>
      </c>
      <c r="O45" s="221">
        <v>0</v>
      </c>
      <c r="P45" s="75">
        <f>SUM(D45:O45)</f>
        <v>0</v>
      </c>
      <c r="Q45" s="76">
        <f>SUM(D45:J45)</f>
        <v>0</v>
      </c>
      <c r="R45" s="75">
        <f>P45-Q45</f>
        <v>0</v>
      </c>
      <c r="S45" s="75"/>
      <c r="T45" s="76">
        <v>0</v>
      </c>
      <c r="U45" s="76">
        <v>0</v>
      </c>
      <c r="V45" s="75">
        <f>T45-U45</f>
        <v>0</v>
      </c>
      <c r="W45" s="63"/>
      <c r="X45" s="63"/>
      <c r="Y45" s="63"/>
      <c r="Z45" s="63"/>
      <c r="AA45" s="63" t="str">
        <f t="shared" si="15"/>
        <v xml:space="preserve">   Other Investments (McDay Energy / Misc.)</v>
      </c>
      <c r="AB45" s="63"/>
      <c r="AC45" s="63"/>
      <c r="AD45" s="108">
        <f>CASHFLOW!D163-'CF-Partnership, NNG &amp; 53K'!D45</f>
        <v>0</v>
      </c>
      <c r="AE45" s="108">
        <f>CASHFLOW!E163-'CF-Partnership, NNG &amp; 53K'!E45</f>
        <v>0</v>
      </c>
      <c r="AF45" s="108">
        <f>CASHFLOW!F163-'CF-Partnership, NNG &amp; 53K'!F45</f>
        <v>0</v>
      </c>
      <c r="AG45" s="108">
        <f>CASHFLOW!G163-'CF-Partnership, NNG &amp; 53K'!G45</f>
        <v>0</v>
      </c>
      <c r="AH45" s="108">
        <f>CASHFLOW!H163-'CF-Partnership, NNG &amp; 53K'!H45</f>
        <v>0</v>
      </c>
      <c r="AI45" s="108">
        <f>CASHFLOW!I163-'CF-Partnership, NNG &amp; 53K'!I45</f>
        <v>0</v>
      </c>
      <c r="AJ45" s="108">
        <f>CASHFLOW!J163-'CF-Partnership, NNG &amp; 53K'!J45</f>
        <v>0</v>
      </c>
      <c r="AK45" s="108">
        <f>CASHFLOW!K163-'CF-Partnership, NNG &amp; 53K'!K45</f>
        <v>0</v>
      </c>
      <c r="AL45" s="108">
        <f>CASHFLOW!L163-'CF-Partnership, NNG &amp; 53K'!L45</f>
        <v>0</v>
      </c>
      <c r="AM45" s="108">
        <f>CASHFLOW!M163-'CF-Partnership, NNG &amp; 53K'!M45</f>
        <v>0</v>
      </c>
      <c r="AN45" s="108">
        <f>CASHFLOW!N163-'CF-Partnership, NNG &amp; 53K'!N45</f>
        <v>0</v>
      </c>
      <c r="AO45" s="108">
        <f>CASHFLOW!O163-'CF-Partnership, NNG &amp; 53K'!O45</f>
        <v>0</v>
      </c>
      <c r="AP45" s="75">
        <f>SUM(AD45:AO45)</f>
        <v>0</v>
      </c>
      <c r="AQ45" s="76">
        <f>SUM(AD45:AJ45)</f>
        <v>0</v>
      </c>
      <c r="AR45" s="75">
        <f>AP45-AQ45</f>
        <v>0</v>
      </c>
      <c r="AS45" s="75"/>
      <c r="AT45" s="76">
        <v>0</v>
      </c>
      <c r="AU45" s="76">
        <v>0</v>
      </c>
      <c r="AV45" s="75">
        <f>AT45-AU45</f>
        <v>0</v>
      </c>
    </row>
    <row r="46" spans="1:48" ht="12.75" customHeight="1">
      <c r="A46" s="219" t="str">
        <f>CASHFLOW!A164</f>
        <v xml:space="preserve">   Other (Net Salvage &amp; Removal)</v>
      </c>
      <c r="B46" s="63"/>
      <c r="C46" s="63"/>
      <c r="D46" s="222">
        <v>0</v>
      </c>
      <c r="E46" s="222">
        <v>0</v>
      </c>
      <c r="F46" s="222">
        <v>0</v>
      </c>
      <c r="G46" s="222">
        <v>0</v>
      </c>
      <c r="H46" s="222">
        <v>0</v>
      </c>
      <c r="I46" s="222">
        <v>0</v>
      </c>
      <c r="J46" s="222">
        <v>0</v>
      </c>
      <c r="K46" s="222">
        <v>0</v>
      </c>
      <c r="L46" s="222">
        <v>0</v>
      </c>
      <c r="M46" s="222">
        <v>0</v>
      </c>
      <c r="N46" s="222">
        <v>0</v>
      </c>
      <c r="O46" s="222">
        <v>0</v>
      </c>
      <c r="P46" s="80">
        <f>SUM(D46:O46)</f>
        <v>0</v>
      </c>
      <c r="Q46" s="99">
        <f>SUM(D46:J46)</f>
        <v>0</v>
      </c>
      <c r="R46" s="80">
        <f>P46-Q46</f>
        <v>0</v>
      </c>
      <c r="S46" s="80"/>
      <c r="T46" s="222">
        <v>0</v>
      </c>
      <c r="U46" s="222">
        <v>0</v>
      </c>
      <c r="V46" s="109">
        <f>T46-U46</f>
        <v>0</v>
      </c>
      <c r="W46" s="63"/>
      <c r="X46" s="63"/>
      <c r="Y46" s="63"/>
      <c r="Z46" s="63"/>
      <c r="AA46" s="63" t="str">
        <f t="shared" si="15"/>
        <v xml:space="preserve">   Other (Net Salvage &amp; Removal)</v>
      </c>
      <c r="AB46" s="63"/>
      <c r="AC46" s="63"/>
      <c r="AD46" s="109">
        <f>CASHFLOW!D164-'CF-Partnership, NNG &amp; 53K'!D46</f>
        <v>4</v>
      </c>
      <c r="AE46" s="109">
        <f>CASHFLOW!E164-'CF-Partnership, NNG &amp; 53K'!E46</f>
        <v>11</v>
      </c>
      <c r="AF46" s="109">
        <f>CASHFLOW!F164-'CF-Partnership, NNG &amp; 53K'!F46</f>
        <v>-247</v>
      </c>
      <c r="AG46" s="109">
        <f>CASHFLOW!G164-'CF-Partnership, NNG &amp; 53K'!G46</f>
        <v>-108</v>
      </c>
      <c r="AH46" s="109">
        <f>CASHFLOW!H164-'CF-Partnership, NNG &amp; 53K'!H46</f>
        <v>1508</v>
      </c>
      <c r="AI46" s="109">
        <f>CASHFLOW!I164-'CF-Partnership, NNG &amp; 53K'!I46</f>
        <v>-2197</v>
      </c>
      <c r="AJ46" s="109">
        <f>CASHFLOW!J164-'CF-Partnership, NNG &amp; 53K'!J46</f>
        <v>8</v>
      </c>
      <c r="AK46" s="109">
        <f>CASHFLOW!K164-'CF-Partnership, NNG &amp; 53K'!K46</f>
        <v>0</v>
      </c>
      <c r="AL46" s="109">
        <f>CASHFLOW!L164-'CF-Partnership, NNG &amp; 53K'!L46</f>
        <v>0</v>
      </c>
      <c r="AM46" s="109">
        <f>CASHFLOW!M164-'CF-Partnership, NNG &amp; 53K'!M46</f>
        <v>0</v>
      </c>
      <c r="AN46" s="109">
        <f>CASHFLOW!N164-'CF-Partnership, NNG &amp; 53K'!N46</f>
        <v>0</v>
      </c>
      <c r="AO46" s="109">
        <f>CASHFLOW!O164-'CF-Partnership, NNG &amp; 53K'!O46</f>
        <v>0</v>
      </c>
      <c r="AP46" s="80">
        <f>SUM(AD46:AO46)</f>
        <v>-1021</v>
      </c>
      <c r="AQ46" s="99">
        <f>SUM(AD46:AJ46)</f>
        <v>-1021</v>
      </c>
      <c r="AR46" s="80">
        <f>AP46-AQ46</f>
        <v>0</v>
      </c>
      <c r="AS46" s="80"/>
      <c r="AT46" s="222">
        <v>0</v>
      </c>
      <c r="AU46" s="222">
        <v>0</v>
      </c>
      <c r="AV46" s="109">
        <f>AT46-AU46</f>
        <v>0</v>
      </c>
    </row>
    <row r="47" spans="1:48" ht="3.95" customHeight="1">
      <c r="A47" s="9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</row>
    <row r="48" spans="1:48" ht="12.75" customHeight="1">
      <c r="A48" s="220" t="str">
        <f>CASHFLOW!A166</f>
        <v xml:space="preserve">      Cash Provided by (Used in) Investing Activities</v>
      </c>
      <c r="B48" s="63"/>
      <c r="C48" s="63"/>
      <c r="D48" s="109">
        <f t="shared" ref="D48:R48" si="28">SUM(D42:D47)</f>
        <v>0</v>
      </c>
      <c r="E48" s="109">
        <f t="shared" si="28"/>
        <v>0</v>
      </c>
      <c r="F48" s="109">
        <f t="shared" si="28"/>
        <v>0</v>
      </c>
      <c r="G48" s="109">
        <f t="shared" si="28"/>
        <v>0</v>
      </c>
      <c r="H48" s="109">
        <f t="shared" si="28"/>
        <v>0</v>
      </c>
      <c r="I48" s="109">
        <f t="shared" si="28"/>
        <v>0</v>
      </c>
      <c r="J48" s="109">
        <f t="shared" si="28"/>
        <v>0</v>
      </c>
      <c r="K48" s="109">
        <f t="shared" si="28"/>
        <v>0</v>
      </c>
      <c r="L48" s="109">
        <f t="shared" si="28"/>
        <v>0</v>
      </c>
      <c r="M48" s="109">
        <f t="shared" si="28"/>
        <v>0</v>
      </c>
      <c r="N48" s="109">
        <f t="shared" si="28"/>
        <v>0</v>
      </c>
      <c r="O48" s="109">
        <f t="shared" si="28"/>
        <v>0</v>
      </c>
      <c r="P48" s="109">
        <f t="shared" si="28"/>
        <v>0</v>
      </c>
      <c r="Q48" s="109">
        <f t="shared" si="28"/>
        <v>0</v>
      </c>
      <c r="R48" s="109">
        <f t="shared" si="28"/>
        <v>0</v>
      </c>
      <c r="S48" s="109"/>
      <c r="T48" s="109">
        <f>SUM(T42:T47)</f>
        <v>0</v>
      </c>
      <c r="U48" s="109">
        <f>SUM(U42:U47)</f>
        <v>0</v>
      </c>
      <c r="V48" s="109">
        <f>SUM(V42:V47)</f>
        <v>0</v>
      </c>
      <c r="W48" s="63"/>
      <c r="X48" s="63"/>
      <c r="Y48" s="63"/>
      <c r="Z48" s="63"/>
      <c r="AA48" s="63" t="str">
        <f t="shared" si="15"/>
        <v xml:space="preserve">      Cash Provided by (Used in) Investing Activities</v>
      </c>
      <c r="AB48" s="63"/>
      <c r="AC48" s="63"/>
      <c r="AD48" s="109">
        <f t="shared" ref="AD48:AR48" si="29">SUM(AD42:AD47)</f>
        <v>-46091</v>
      </c>
      <c r="AE48" s="109">
        <f t="shared" si="29"/>
        <v>-10275</v>
      </c>
      <c r="AF48" s="109">
        <f t="shared" si="29"/>
        <v>-2504</v>
      </c>
      <c r="AG48" s="109">
        <f t="shared" si="29"/>
        <v>4995</v>
      </c>
      <c r="AH48" s="109">
        <f t="shared" si="29"/>
        <v>2576</v>
      </c>
      <c r="AI48" s="109">
        <f t="shared" si="29"/>
        <v>4295</v>
      </c>
      <c r="AJ48" s="109">
        <f t="shared" si="29"/>
        <v>-2541</v>
      </c>
      <c r="AK48" s="109">
        <f t="shared" si="29"/>
        <v>-8496</v>
      </c>
      <c r="AL48" s="109">
        <f t="shared" si="29"/>
        <v>-11400</v>
      </c>
      <c r="AM48" s="109">
        <f t="shared" si="29"/>
        <v>-8961</v>
      </c>
      <c r="AN48" s="109">
        <f t="shared" si="29"/>
        <v>-8959</v>
      </c>
      <c r="AO48" s="109">
        <f t="shared" si="29"/>
        <v>-2270</v>
      </c>
      <c r="AP48" s="109">
        <f t="shared" si="29"/>
        <v>-89631</v>
      </c>
      <c r="AQ48" s="109">
        <f t="shared" si="29"/>
        <v>-49545</v>
      </c>
      <c r="AR48" s="109">
        <f t="shared" si="29"/>
        <v>-40086</v>
      </c>
      <c r="AS48" s="109"/>
      <c r="AT48" s="109">
        <f>SUM(AT42:AT47)</f>
        <v>0</v>
      </c>
      <c r="AU48" s="109">
        <f>SUM(AU42:AU47)</f>
        <v>0</v>
      </c>
      <c r="AV48" s="109">
        <f>SUM(AV42:AV47)</f>
        <v>0</v>
      </c>
    </row>
    <row r="49" spans="1:48" ht="6" customHeight="1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</row>
    <row r="50" spans="1:48" ht="12.75" customHeight="1">
      <c r="A50" s="220" t="str">
        <f>CASHFLOW!A168</f>
        <v>NET CASH FLOW</v>
      </c>
      <c r="B50" s="63"/>
      <c r="C50" s="63"/>
      <c r="D50" s="209">
        <f t="shared" ref="D50:R50" si="30">D39+D48</f>
        <v>-268</v>
      </c>
      <c r="E50" s="209">
        <f t="shared" si="30"/>
        <v>-199</v>
      </c>
      <c r="F50" s="209">
        <f t="shared" si="30"/>
        <v>605</v>
      </c>
      <c r="G50" s="209">
        <f t="shared" si="30"/>
        <v>-534</v>
      </c>
      <c r="H50" s="209">
        <f t="shared" si="30"/>
        <v>-195</v>
      </c>
      <c r="I50" s="209">
        <f t="shared" si="30"/>
        <v>3563</v>
      </c>
      <c r="J50" s="209">
        <f t="shared" si="30"/>
        <v>-202</v>
      </c>
      <c r="K50" s="209">
        <f t="shared" si="30"/>
        <v>1822</v>
      </c>
      <c r="L50" s="209">
        <f t="shared" si="30"/>
        <v>603</v>
      </c>
      <c r="M50" s="209">
        <f t="shared" si="30"/>
        <v>-238</v>
      </c>
      <c r="N50" s="209">
        <f t="shared" si="30"/>
        <v>-252</v>
      </c>
      <c r="O50" s="209">
        <f t="shared" si="30"/>
        <v>798</v>
      </c>
      <c r="P50" s="209">
        <f t="shared" si="30"/>
        <v>5503</v>
      </c>
      <c r="Q50" s="209">
        <f t="shared" si="30"/>
        <v>2770</v>
      </c>
      <c r="R50" s="209">
        <f t="shared" si="30"/>
        <v>2733</v>
      </c>
      <c r="S50" s="111"/>
      <c r="T50" s="209">
        <f>T39+T48</f>
        <v>0</v>
      </c>
      <c r="U50" s="209">
        <f>U39+U48</f>
        <v>0</v>
      </c>
      <c r="V50" s="209">
        <f>V39+V48</f>
        <v>0</v>
      </c>
      <c r="W50" s="63"/>
      <c r="X50" s="63"/>
      <c r="Y50" s="63"/>
      <c r="Z50" s="63"/>
      <c r="AA50" s="60" t="str">
        <f>A50</f>
        <v>NET CASH FLOW</v>
      </c>
      <c r="AB50" s="63"/>
      <c r="AC50" s="63"/>
      <c r="AD50" s="209">
        <f t="shared" ref="AD50:AO50" si="31">AD39+AD48</f>
        <v>31632</v>
      </c>
      <c r="AE50" s="209">
        <f t="shared" si="31"/>
        <v>-28897</v>
      </c>
      <c r="AF50" s="209">
        <f t="shared" si="31"/>
        <v>7689</v>
      </c>
      <c r="AG50" s="209">
        <f t="shared" si="31"/>
        <v>47991</v>
      </c>
      <c r="AH50" s="209">
        <f t="shared" si="31"/>
        <v>13540</v>
      </c>
      <c r="AI50" s="209">
        <f t="shared" si="31"/>
        <v>-7296</v>
      </c>
      <c r="AJ50" s="209">
        <f t="shared" si="31"/>
        <v>11903</v>
      </c>
      <c r="AK50" s="209">
        <f t="shared" si="31"/>
        <v>9627</v>
      </c>
      <c r="AL50" s="209">
        <f t="shared" si="31"/>
        <v>-6003</v>
      </c>
      <c r="AM50" s="209">
        <f t="shared" si="31"/>
        <v>-16362</v>
      </c>
      <c r="AN50" s="209">
        <f t="shared" si="31"/>
        <v>-21748</v>
      </c>
      <c r="AO50" s="209">
        <f t="shared" si="31"/>
        <v>-15098</v>
      </c>
      <c r="AP50" s="209">
        <f>AP39+AP48</f>
        <v>26978</v>
      </c>
      <c r="AQ50" s="209">
        <f>AQ39+AQ48</f>
        <v>76562</v>
      </c>
      <c r="AR50" s="209">
        <f>AR39+AR48</f>
        <v>-49584</v>
      </c>
      <c r="AS50" s="111"/>
      <c r="AT50" s="209">
        <f>AT39+AT48</f>
        <v>0</v>
      </c>
      <c r="AU50" s="209">
        <f>AU39+AU48</f>
        <v>0</v>
      </c>
      <c r="AV50" s="209">
        <f>AV39+AV48</f>
        <v>0</v>
      </c>
    </row>
    <row r="51" spans="1:48" ht="6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</row>
    <row r="52" spans="1:48" ht="12.75" customHeight="1">
      <c r="A52" s="220" t="str">
        <f>CASHFLOW!A170</f>
        <v>OTHER ITEMS AFFECTING INTERCO. (CORP.) BALANCE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 t="str">
        <f t="shared" ref="AA52:AA58" si="32">A52</f>
        <v>OTHER ITEMS AFFECTING INTERCO. (CORP.) BALANCE</v>
      </c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</row>
    <row r="53" spans="1:48" ht="12.75" customHeight="1">
      <c r="A53" s="219" t="str">
        <f>CASHFLOW!A171</f>
        <v xml:space="preserve">   Dividends Transferred to EPC </v>
      </c>
      <c r="B53" s="63"/>
      <c r="C53" s="63"/>
      <c r="D53" s="221">
        <v>0</v>
      </c>
      <c r="E53" s="221">
        <v>0</v>
      </c>
      <c r="F53" s="221">
        <v>0</v>
      </c>
      <c r="G53" s="221">
        <v>0</v>
      </c>
      <c r="H53" s="221">
        <v>0</v>
      </c>
      <c r="I53" s="221">
        <v>0</v>
      </c>
      <c r="J53" s="221">
        <v>0</v>
      </c>
      <c r="K53" s="221">
        <v>0</v>
      </c>
      <c r="L53" s="221">
        <v>0</v>
      </c>
      <c r="M53" s="221">
        <v>0</v>
      </c>
      <c r="N53" s="221">
        <v>0</v>
      </c>
      <c r="O53" s="221">
        <v>0</v>
      </c>
      <c r="P53" s="75">
        <f>SUM(D53:O53)</f>
        <v>0</v>
      </c>
      <c r="Q53" s="76">
        <f>SUM(D53:J53)</f>
        <v>0</v>
      </c>
      <c r="R53" s="75">
        <f>P53-Q53</f>
        <v>0</v>
      </c>
      <c r="S53" s="75"/>
      <c r="T53" s="76">
        <v>0</v>
      </c>
      <c r="U53" s="76">
        <v>0</v>
      </c>
      <c r="V53" s="75">
        <f>T53-U53</f>
        <v>0</v>
      </c>
      <c r="W53" s="63"/>
      <c r="X53" s="63"/>
      <c r="Y53" s="63"/>
      <c r="Z53" s="63"/>
      <c r="AA53" s="63" t="str">
        <f t="shared" si="32"/>
        <v xml:space="preserve">   Dividends Transferred to EPC </v>
      </c>
      <c r="AB53" s="63"/>
      <c r="AC53" s="63"/>
      <c r="AD53" s="108">
        <f>CASHFLOW!D171-'CF-Partnership, NNG &amp; 53K'!D53</f>
        <v>0</v>
      </c>
      <c r="AE53" s="108">
        <f>CASHFLOW!E171-'CF-Partnership, NNG &amp; 53K'!E53</f>
        <v>0</v>
      </c>
      <c r="AF53" s="108">
        <f>CASHFLOW!F171-'CF-Partnership, NNG &amp; 53K'!F53</f>
        <v>0</v>
      </c>
      <c r="AG53" s="108">
        <f>CASHFLOW!G171-'CF-Partnership, NNG &amp; 53K'!G53</f>
        <v>0</v>
      </c>
      <c r="AH53" s="108">
        <f>CASHFLOW!H171-'CF-Partnership, NNG &amp; 53K'!H53</f>
        <v>0</v>
      </c>
      <c r="AI53" s="108">
        <f>CASHFLOW!I171-'CF-Partnership, NNG &amp; 53K'!I53</f>
        <v>0</v>
      </c>
      <c r="AJ53" s="108">
        <f>CASHFLOW!J171-'CF-Partnership, NNG &amp; 53K'!J53</f>
        <v>0</v>
      </c>
      <c r="AK53" s="108">
        <f>CASHFLOW!K171-'CF-Partnership, NNG &amp; 53K'!K53</f>
        <v>0</v>
      </c>
      <c r="AL53" s="108">
        <f>CASHFLOW!L171-'CF-Partnership, NNG &amp; 53K'!L53</f>
        <v>0</v>
      </c>
      <c r="AM53" s="108">
        <f>CASHFLOW!M171-'CF-Partnership, NNG &amp; 53K'!M53</f>
        <v>0</v>
      </c>
      <c r="AN53" s="108">
        <f>CASHFLOW!N171-'CF-Partnership, NNG &amp; 53K'!N53</f>
        <v>0</v>
      </c>
      <c r="AO53" s="108">
        <f>CASHFLOW!O171-'CF-Partnership, NNG &amp; 53K'!O53</f>
        <v>0</v>
      </c>
      <c r="AP53" s="75">
        <f>SUM(AD53:AO53)</f>
        <v>0</v>
      </c>
      <c r="AQ53" s="76">
        <f>SUM(AD53:AJ53)</f>
        <v>0</v>
      </c>
      <c r="AR53" s="75">
        <f>AP53-AQ53</f>
        <v>0</v>
      </c>
      <c r="AS53" s="75"/>
      <c r="AT53" s="76">
        <v>0</v>
      </c>
      <c r="AU53" s="76">
        <v>0</v>
      </c>
      <c r="AV53" s="75">
        <f>AT53-AU53</f>
        <v>0</v>
      </c>
    </row>
    <row r="54" spans="1:48" ht="12.75" customHeight="1">
      <c r="A54" s="219" t="str">
        <f>CASHFLOW!A172</f>
        <v xml:space="preserve">   Inc. / (Dec.) in Long-Term Debt  (External)</v>
      </c>
      <c r="B54" s="63"/>
      <c r="C54" s="63"/>
      <c r="D54" s="221">
        <v>0</v>
      </c>
      <c r="E54" s="221">
        <v>0</v>
      </c>
      <c r="F54" s="221">
        <v>0</v>
      </c>
      <c r="G54" s="221">
        <v>0</v>
      </c>
      <c r="H54" s="221">
        <v>0</v>
      </c>
      <c r="I54" s="221">
        <v>0</v>
      </c>
      <c r="J54" s="221">
        <v>0</v>
      </c>
      <c r="K54" s="221">
        <v>0</v>
      </c>
      <c r="L54" s="221">
        <v>0</v>
      </c>
      <c r="M54" s="221">
        <v>0</v>
      </c>
      <c r="N54" s="221">
        <v>0</v>
      </c>
      <c r="O54" s="221">
        <v>0</v>
      </c>
      <c r="P54" s="75">
        <f>SUM(D54:O54)</f>
        <v>0</v>
      </c>
      <c r="Q54" s="76">
        <f>SUM(D54:J54)</f>
        <v>0</v>
      </c>
      <c r="R54" s="75">
        <f>P54-Q54</f>
        <v>0</v>
      </c>
      <c r="S54" s="75"/>
      <c r="T54" s="76">
        <v>0</v>
      </c>
      <c r="U54" s="76">
        <v>0</v>
      </c>
      <c r="V54" s="75">
        <f>T54-U54</f>
        <v>0</v>
      </c>
      <c r="W54" s="63"/>
      <c r="X54" s="63"/>
      <c r="Y54" s="63"/>
      <c r="Z54" s="63"/>
      <c r="AA54" s="63" t="str">
        <f t="shared" si="32"/>
        <v xml:space="preserve">   Inc. / (Dec.) in Long-Term Debt  (External)</v>
      </c>
      <c r="AB54" s="63"/>
      <c r="AC54" s="63"/>
      <c r="AD54" s="108">
        <f>CASHFLOW!D172-'CF-Partnership, NNG &amp; 53K'!D54</f>
        <v>0</v>
      </c>
      <c r="AE54" s="108">
        <f>CASHFLOW!E172-'CF-Partnership, NNG &amp; 53K'!E54</f>
        <v>0</v>
      </c>
      <c r="AF54" s="108">
        <f>CASHFLOW!F172-'CF-Partnership, NNG &amp; 53K'!F54</f>
        <v>0</v>
      </c>
      <c r="AG54" s="108">
        <f>CASHFLOW!G172-'CF-Partnership, NNG &amp; 53K'!G54</f>
        <v>0</v>
      </c>
      <c r="AH54" s="108">
        <f>CASHFLOW!H172-'CF-Partnership, NNG &amp; 53K'!H54</f>
        <v>0</v>
      </c>
      <c r="AI54" s="108">
        <f>CASHFLOW!I172-'CF-Partnership, NNG &amp; 53K'!I54</f>
        <v>0</v>
      </c>
      <c r="AJ54" s="108">
        <f>CASHFLOW!J172-'CF-Partnership, NNG &amp; 53K'!J54</f>
        <v>0</v>
      </c>
      <c r="AK54" s="108">
        <f>CASHFLOW!K172-'CF-Partnership, NNG &amp; 53K'!K54</f>
        <v>0</v>
      </c>
      <c r="AL54" s="108">
        <f>CASHFLOW!L172-'CF-Partnership, NNG &amp; 53K'!L54</f>
        <v>0</v>
      </c>
      <c r="AM54" s="108">
        <f>CASHFLOW!M172-'CF-Partnership, NNG &amp; 53K'!M54</f>
        <v>0</v>
      </c>
      <c r="AN54" s="108">
        <f>CASHFLOW!N172-'CF-Partnership, NNG &amp; 53K'!N54</f>
        <v>0</v>
      </c>
      <c r="AO54" s="108">
        <f>CASHFLOW!O172-'CF-Partnership, NNG &amp; 53K'!O54</f>
        <v>0</v>
      </c>
      <c r="AP54" s="75">
        <f>SUM(AD54:AO54)</f>
        <v>0</v>
      </c>
      <c r="AQ54" s="76">
        <f>SUM(AD54:AJ54)</f>
        <v>0</v>
      </c>
      <c r="AR54" s="75">
        <f>AP54-AQ54</f>
        <v>0</v>
      </c>
      <c r="AS54" s="75"/>
      <c r="AT54" s="76">
        <v>0</v>
      </c>
      <c r="AU54" s="76">
        <v>0</v>
      </c>
      <c r="AV54" s="75">
        <f>AT54-AU54</f>
        <v>0</v>
      </c>
    </row>
    <row r="55" spans="1:48" ht="12.75" customHeight="1">
      <c r="A55" s="219" t="str">
        <f>CASHFLOW!A173</f>
        <v xml:space="preserve">   Inc. / (Dec.) in Long-Term Debt Discount </v>
      </c>
      <c r="B55" s="63"/>
      <c r="C55" s="63"/>
      <c r="D55" s="221">
        <v>0</v>
      </c>
      <c r="E55" s="221">
        <v>0</v>
      </c>
      <c r="F55" s="221">
        <v>0</v>
      </c>
      <c r="G55" s="221">
        <v>0</v>
      </c>
      <c r="H55" s="221">
        <v>0</v>
      </c>
      <c r="I55" s="221">
        <v>0</v>
      </c>
      <c r="J55" s="221">
        <v>0</v>
      </c>
      <c r="K55" s="221">
        <v>0</v>
      </c>
      <c r="L55" s="221">
        <v>0</v>
      </c>
      <c r="M55" s="221">
        <v>0</v>
      </c>
      <c r="N55" s="221">
        <v>0</v>
      </c>
      <c r="O55" s="221">
        <v>0</v>
      </c>
      <c r="P55" s="75">
        <f>SUM(D55:O55)</f>
        <v>0</v>
      </c>
      <c r="Q55" s="76">
        <f>SUM(D55:J55)</f>
        <v>0</v>
      </c>
      <c r="R55" s="75">
        <f>P55-Q55</f>
        <v>0</v>
      </c>
      <c r="S55" s="75"/>
      <c r="T55" s="76">
        <v>0</v>
      </c>
      <c r="U55" s="76">
        <v>0</v>
      </c>
      <c r="V55" s="75">
        <f>T55-U55</f>
        <v>0</v>
      </c>
      <c r="W55" s="63"/>
      <c r="X55" s="63"/>
      <c r="Y55" s="63"/>
      <c r="Z55" s="63"/>
      <c r="AA55" s="63" t="str">
        <f t="shared" si="32"/>
        <v xml:space="preserve">   Inc. / (Dec.) in Long-Term Debt Discount </v>
      </c>
      <c r="AB55" s="63"/>
      <c r="AC55" s="63"/>
      <c r="AD55" s="108">
        <f>CASHFLOW!D173-'CF-Partnership, NNG &amp; 53K'!D55</f>
        <v>0</v>
      </c>
      <c r="AE55" s="108">
        <f>CASHFLOW!E173-'CF-Partnership, NNG &amp; 53K'!E55</f>
        <v>0</v>
      </c>
      <c r="AF55" s="108">
        <f>CASHFLOW!F173-'CF-Partnership, NNG &amp; 53K'!F55</f>
        <v>0</v>
      </c>
      <c r="AG55" s="108">
        <f>CASHFLOW!G173-'CF-Partnership, NNG &amp; 53K'!G55</f>
        <v>0</v>
      </c>
      <c r="AH55" s="108">
        <f>CASHFLOW!H173-'CF-Partnership, NNG &amp; 53K'!H55</f>
        <v>0</v>
      </c>
      <c r="AI55" s="108">
        <f>CASHFLOW!I173-'CF-Partnership, NNG &amp; 53K'!I55</f>
        <v>0</v>
      </c>
      <c r="AJ55" s="108">
        <f>CASHFLOW!J173-'CF-Partnership, NNG &amp; 53K'!J55</f>
        <v>0</v>
      </c>
      <c r="AK55" s="108">
        <f>CASHFLOW!K173-'CF-Partnership, NNG &amp; 53K'!K55</f>
        <v>0</v>
      </c>
      <c r="AL55" s="108">
        <f>CASHFLOW!L173-'CF-Partnership, NNG &amp; 53K'!L55</f>
        <v>0</v>
      </c>
      <c r="AM55" s="108">
        <f>CASHFLOW!M173-'CF-Partnership, NNG &amp; 53K'!M55</f>
        <v>0</v>
      </c>
      <c r="AN55" s="108">
        <f>CASHFLOW!N173-'CF-Partnership, NNG &amp; 53K'!N55</f>
        <v>0</v>
      </c>
      <c r="AO55" s="108">
        <f>CASHFLOW!O173-'CF-Partnership, NNG &amp; 53K'!O55</f>
        <v>0</v>
      </c>
      <c r="AP55" s="75">
        <f>SUM(AD55:AO55)</f>
        <v>0</v>
      </c>
      <c r="AQ55" s="76">
        <f>SUM(AD55:AJ55)</f>
        <v>0</v>
      </c>
      <c r="AR55" s="75">
        <f>AP55-AQ55</f>
        <v>0</v>
      </c>
      <c r="AS55" s="75"/>
      <c r="AT55" s="76">
        <v>0</v>
      </c>
      <c r="AU55" s="76">
        <v>0</v>
      </c>
      <c r="AV55" s="75">
        <f>AT55-AU55</f>
        <v>0</v>
      </c>
    </row>
    <row r="56" spans="1:48" ht="12.75" customHeight="1">
      <c r="A56" s="219" t="str">
        <f>CASHFLOW!A174</f>
        <v xml:space="preserve">   Contribution from Parent </v>
      </c>
      <c r="B56" s="63"/>
      <c r="C56" s="63"/>
      <c r="D56" s="222">
        <v>0</v>
      </c>
      <c r="E56" s="222">
        <v>0</v>
      </c>
      <c r="F56" s="222">
        <v>0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22">
        <v>0</v>
      </c>
      <c r="N56" s="222">
        <v>0</v>
      </c>
      <c r="O56" s="222">
        <v>0</v>
      </c>
      <c r="P56" s="80">
        <f>SUM(D56:O56)</f>
        <v>0</v>
      </c>
      <c r="Q56" s="99">
        <f>SUM(D56:J56)</f>
        <v>0</v>
      </c>
      <c r="R56" s="80">
        <f>P56-Q56</f>
        <v>0</v>
      </c>
      <c r="S56" s="80"/>
      <c r="T56" s="222">
        <v>0</v>
      </c>
      <c r="U56" s="222">
        <v>0</v>
      </c>
      <c r="V56" s="109">
        <f>T56-U56</f>
        <v>0</v>
      </c>
      <c r="W56" s="63"/>
      <c r="X56" s="63"/>
      <c r="Y56" s="63"/>
      <c r="Z56" s="63"/>
      <c r="AA56" s="63" t="str">
        <f t="shared" si="32"/>
        <v xml:space="preserve">   Contribution from Parent </v>
      </c>
      <c r="AB56" s="63"/>
      <c r="AC56" s="63"/>
      <c r="AD56" s="109">
        <f>CASHFLOW!D174-'CF-Partnership, NNG &amp; 53K'!D56</f>
        <v>0</v>
      </c>
      <c r="AE56" s="109">
        <f>CASHFLOW!E174-'CF-Partnership, NNG &amp; 53K'!E56</f>
        <v>0</v>
      </c>
      <c r="AF56" s="109">
        <f>CASHFLOW!F174-'CF-Partnership, NNG &amp; 53K'!F56</f>
        <v>0</v>
      </c>
      <c r="AG56" s="109">
        <f>CASHFLOW!G174-'CF-Partnership, NNG &amp; 53K'!G56</f>
        <v>0</v>
      </c>
      <c r="AH56" s="109">
        <f>CASHFLOW!H174-'CF-Partnership, NNG &amp; 53K'!H56</f>
        <v>0</v>
      </c>
      <c r="AI56" s="109">
        <f>CASHFLOW!I174-'CF-Partnership, NNG &amp; 53K'!I56</f>
        <v>0</v>
      </c>
      <c r="AJ56" s="109">
        <f>CASHFLOW!J174-'CF-Partnership, NNG &amp; 53K'!J56</f>
        <v>0</v>
      </c>
      <c r="AK56" s="109">
        <f>CASHFLOW!K174-'CF-Partnership, NNG &amp; 53K'!K56</f>
        <v>0</v>
      </c>
      <c r="AL56" s="109">
        <f>CASHFLOW!L174-'CF-Partnership, NNG &amp; 53K'!L56</f>
        <v>0</v>
      </c>
      <c r="AM56" s="109">
        <f>CASHFLOW!M174-'CF-Partnership, NNG &amp; 53K'!M56</f>
        <v>0</v>
      </c>
      <c r="AN56" s="109">
        <f>CASHFLOW!N174-'CF-Partnership, NNG &amp; 53K'!N56</f>
        <v>0</v>
      </c>
      <c r="AO56" s="109">
        <f>CASHFLOW!O174-'CF-Partnership, NNG &amp; 53K'!O56</f>
        <v>0</v>
      </c>
      <c r="AP56" s="80">
        <f>SUM(AD56:AO56)</f>
        <v>0</v>
      </c>
      <c r="AQ56" s="99">
        <f>SUM(AD56:AJ56)</f>
        <v>0</v>
      </c>
      <c r="AR56" s="80">
        <f>AP56-AQ56</f>
        <v>0</v>
      </c>
      <c r="AS56" s="80"/>
      <c r="AT56" s="222">
        <v>0</v>
      </c>
      <c r="AU56" s="222">
        <v>0</v>
      </c>
      <c r="AV56" s="109">
        <f>AT56-AU56</f>
        <v>0</v>
      </c>
    </row>
    <row r="57" spans="1:48" ht="3.95" customHeight="1">
      <c r="A57" s="9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</row>
    <row r="58" spans="1:48" ht="12.75" customHeight="1">
      <c r="A58" s="220" t="str">
        <f>CASHFLOW!A176</f>
        <v xml:space="preserve">      Total Items Affecting Intercompany (Corp.) Balance</v>
      </c>
      <c r="B58" s="63"/>
      <c r="C58" s="63"/>
      <c r="D58" s="109">
        <f t="shared" ref="D58:R58" si="33">SUM(D52:D57)</f>
        <v>0</v>
      </c>
      <c r="E58" s="109">
        <f t="shared" si="33"/>
        <v>0</v>
      </c>
      <c r="F58" s="109">
        <f t="shared" si="33"/>
        <v>0</v>
      </c>
      <c r="G58" s="109">
        <f t="shared" si="33"/>
        <v>0</v>
      </c>
      <c r="H58" s="109">
        <f t="shared" si="33"/>
        <v>0</v>
      </c>
      <c r="I58" s="109">
        <f t="shared" si="33"/>
        <v>0</v>
      </c>
      <c r="J58" s="109">
        <f t="shared" si="33"/>
        <v>0</v>
      </c>
      <c r="K58" s="109">
        <f t="shared" si="33"/>
        <v>0</v>
      </c>
      <c r="L58" s="109">
        <f t="shared" si="33"/>
        <v>0</v>
      </c>
      <c r="M58" s="109">
        <f t="shared" si="33"/>
        <v>0</v>
      </c>
      <c r="N58" s="109">
        <f t="shared" si="33"/>
        <v>0</v>
      </c>
      <c r="O58" s="109">
        <f t="shared" si="33"/>
        <v>0</v>
      </c>
      <c r="P58" s="109">
        <f t="shared" si="33"/>
        <v>0</v>
      </c>
      <c r="Q58" s="109">
        <f t="shared" si="33"/>
        <v>0</v>
      </c>
      <c r="R58" s="109">
        <f t="shared" si="33"/>
        <v>0</v>
      </c>
      <c r="S58" s="109"/>
      <c r="T58" s="109">
        <f>SUM(T52:T57)</f>
        <v>0</v>
      </c>
      <c r="U58" s="109">
        <f>SUM(U52:U57)</f>
        <v>0</v>
      </c>
      <c r="V58" s="109">
        <f>SUM(V52:V57)</f>
        <v>0</v>
      </c>
      <c r="W58" s="63"/>
      <c r="X58" s="63"/>
      <c r="Y58" s="63"/>
      <c r="Z58" s="63"/>
      <c r="AA58" s="63" t="str">
        <f t="shared" si="32"/>
        <v xml:space="preserve">      Total Items Affecting Intercompany (Corp.) Balance</v>
      </c>
      <c r="AB58" s="63"/>
      <c r="AC58" s="63"/>
      <c r="AD58" s="109">
        <f t="shared" ref="AD58:AR58" si="34">SUM(AD52:AD57)</f>
        <v>0</v>
      </c>
      <c r="AE58" s="109">
        <f t="shared" si="34"/>
        <v>0</v>
      </c>
      <c r="AF58" s="109">
        <f t="shared" si="34"/>
        <v>0</v>
      </c>
      <c r="AG58" s="109">
        <f t="shared" si="34"/>
        <v>0</v>
      </c>
      <c r="AH58" s="109">
        <f t="shared" si="34"/>
        <v>0</v>
      </c>
      <c r="AI58" s="109">
        <f t="shared" si="34"/>
        <v>0</v>
      </c>
      <c r="AJ58" s="109">
        <f t="shared" si="34"/>
        <v>0</v>
      </c>
      <c r="AK58" s="109">
        <f t="shared" si="34"/>
        <v>0</v>
      </c>
      <c r="AL58" s="109">
        <f t="shared" si="34"/>
        <v>0</v>
      </c>
      <c r="AM58" s="109">
        <f t="shared" si="34"/>
        <v>0</v>
      </c>
      <c r="AN58" s="109">
        <f t="shared" si="34"/>
        <v>0</v>
      </c>
      <c r="AO58" s="109">
        <f t="shared" si="34"/>
        <v>0</v>
      </c>
      <c r="AP58" s="109">
        <f t="shared" si="34"/>
        <v>0</v>
      </c>
      <c r="AQ58" s="109">
        <f t="shared" si="34"/>
        <v>0</v>
      </c>
      <c r="AR58" s="109">
        <f t="shared" si="34"/>
        <v>0</v>
      </c>
      <c r="AS58" s="109"/>
      <c r="AT58" s="109">
        <f>SUM(AT52:AT57)</f>
        <v>0</v>
      </c>
      <c r="AU58" s="109">
        <f>SUM(AU52:AU57)</f>
        <v>0</v>
      </c>
      <c r="AV58" s="109">
        <f>SUM(AV52:AV57)</f>
        <v>0</v>
      </c>
    </row>
    <row r="59" spans="1:48" ht="6" customHeight="1">
      <c r="A59" s="9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</row>
    <row r="60" spans="1:48" ht="12.75" customHeight="1">
      <c r="A60" s="220" t="str">
        <f>CASHFLOW!A178</f>
        <v>INCREASE / (DECREASE) IN INTERCOMPANY CASH</v>
      </c>
      <c r="B60" s="63"/>
      <c r="C60" s="63"/>
      <c r="D60" s="108">
        <f>D50+D58</f>
        <v>-268</v>
      </c>
      <c r="E60" s="108">
        <f t="shared" ref="E60:R60" si="35">E50+E58</f>
        <v>-199</v>
      </c>
      <c r="F60" s="108">
        <f t="shared" si="35"/>
        <v>605</v>
      </c>
      <c r="G60" s="108">
        <f t="shared" si="35"/>
        <v>-534</v>
      </c>
      <c r="H60" s="108">
        <f t="shared" si="35"/>
        <v>-195</v>
      </c>
      <c r="I60" s="108">
        <f t="shared" si="35"/>
        <v>3563</v>
      </c>
      <c r="J60" s="108">
        <f t="shared" si="35"/>
        <v>-202</v>
      </c>
      <c r="K60" s="108">
        <f t="shared" si="35"/>
        <v>1822</v>
      </c>
      <c r="L60" s="108">
        <f t="shared" si="35"/>
        <v>603</v>
      </c>
      <c r="M60" s="108">
        <f t="shared" si="35"/>
        <v>-238</v>
      </c>
      <c r="N60" s="108">
        <f t="shared" si="35"/>
        <v>-252</v>
      </c>
      <c r="O60" s="108">
        <f t="shared" si="35"/>
        <v>798</v>
      </c>
      <c r="P60" s="108">
        <f t="shared" si="35"/>
        <v>5503</v>
      </c>
      <c r="Q60" s="108">
        <f t="shared" si="35"/>
        <v>2770</v>
      </c>
      <c r="R60" s="108">
        <f t="shared" si="35"/>
        <v>2733</v>
      </c>
      <c r="S60" s="108"/>
      <c r="T60" s="108">
        <f>T50+T58</f>
        <v>0</v>
      </c>
      <c r="U60" s="108">
        <f>U50+U58</f>
        <v>0</v>
      </c>
      <c r="V60" s="108">
        <f>V50+V58</f>
        <v>0</v>
      </c>
      <c r="W60" s="63"/>
      <c r="X60" s="63"/>
      <c r="Y60" s="63"/>
      <c r="Z60" s="63"/>
      <c r="AA60" s="60" t="str">
        <f>A60</f>
        <v>INCREASE / (DECREASE) IN INTERCOMPANY CASH</v>
      </c>
      <c r="AB60" s="63"/>
      <c r="AC60" s="63"/>
      <c r="AD60" s="108">
        <f t="shared" ref="AD60:AO60" si="36">AD50+AD58</f>
        <v>31632</v>
      </c>
      <c r="AE60" s="108">
        <f t="shared" si="36"/>
        <v>-28897</v>
      </c>
      <c r="AF60" s="108">
        <f t="shared" si="36"/>
        <v>7689</v>
      </c>
      <c r="AG60" s="108">
        <f t="shared" si="36"/>
        <v>47991</v>
      </c>
      <c r="AH60" s="108">
        <f t="shared" si="36"/>
        <v>13540</v>
      </c>
      <c r="AI60" s="108">
        <f t="shared" si="36"/>
        <v>-7296</v>
      </c>
      <c r="AJ60" s="108">
        <f t="shared" si="36"/>
        <v>11903</v>
      </c>
      <c r="AK60" s="108">
        <f t="shared" si="36"/>
        <v>9627</v>
      </c>
      <c r="AL60" s="108">
        <f t="shared" si="36"/>
        <v>-6003</v>
      </c>
      <c r="AM60" s="108">
        <f t="shared" si="36"/>
        <v>-16362</v>
      </c>
      <c r="AN60" s="108">
        <f t="shared" si="36"/>
        <v>-21748</v>
      </c>
      <c r="AO60" s="108">
        <f t="shared" si="36"/>
        <v>-15098</v>
      </c>
      <c r="AP60" s="108">
        <f>AP50+AP58</f>
        <v>26978</v>
      </c>
      <c r="AQ60" s="108">
        <f>AQ50+AQ58</f>
        <v>76562</v>
      </c>
      <c r="AR60" s="108">
        <f>AR50+AR58</f>
        <v>-49584</v>
      </c>
      <c r="AS60" s="108"/>
      <c r="AT60" s="108">
        <f>AT50+AT58</f>
        <v>0</v>
      </c>
      <c r="AU60" s="108">
        <f>AU50+AU58</f>
        <v>0</v>
      </c>
      <c r="AV60" s="108">
        <f>AV50+AV58</f>
        <v>0</v>
      </c>
    </row>
    <row r="61" spans="1:48" ht="6" customHeight="1">
      <c r="A61" s="9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</row>
    <row r="62" spans="1:48" ht="12.75" customHeight="1">
      <c r="A62" s="220" t="str">
        <f>CASHFLOW!A180</f>
        <v xml:space="preserve">      Change in Other Obligations</v>
      </c>
      <c r="B62" s="63"/>
      <c r="C62" s="63"/>
      <c r="D62" s="222">
        <v>0</v>
      </c>
      <c r="E62" s="222">
        <v>0</v>
      </c>
      <c r="F62" s="222">
        <v>0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22">
        <v>0</v>
      </c>
      <c r="N62" s="222">
        <v>0</v>
      </c>
      <c r="O62" s="222">
        <v>0</v>
      </c>
      <c r="P62" s="80">
        <f>SUM(D62:O62)</f>
        <v>0</v>
      </c>
      <c r="Q62" s="99">
        <f>SUM(D62:J62)</f>
        <v>0</v>
      </c>
      <c r="R62" s="80">
        <f>P62-Q62</f>
        <v>0</v>
      </c>
      <c r="S62" s="80"/>
      <c r="T62" s="222">
        <v>0</v>
      </c>
      <c r="U62" s="222">
        <v>0</v>
      </c>
      <c r="V62" s="109">
        <f>T62-U62</f>
        <v>0</v>
      </c>
      <c r="W62" s="63"/>
      <c r="X62" s="63"/>
      <c r="Y62" s="63"/>
      <c r="Z62" s="63"/>
      <c r="AA62" s="60" t="str">
        <f>A62</f>
        <v xml:space="preserve">      Change in Other Obligations</v>
      </c>
      <c r="AB62" s="63"/>
      <c r="AC62" s="63"/>
      <c r="AD62" s="109">
        <f>CASHFLOW!D180-'CF-Partnership, NNG &amp; 53K'!D62</f>
        <v>-6</v>
      </c>
      <c r="AE62" s="109">
        <f>CASHFLOW!E180-'CF-Partnership, NNG &amp; 53K'!E62</f>
        <v>-6</v>
      </c>
      <c r="AF62" s="109">
        <f>CASHFLOW!F180-'CF-Partnership, NNG &amp; 53K'!F62</f>
        <v>-7</v>
      </c>
      <c r="AG62" s="109">
        <f>CASHFLOW!G180-'CF-Partnership, NNG &amp; 53K'!G62</f>
        <v>-6</v>
      </c>
      <c r="AH62" s="109">
        <f>CASHFLOW!H180-'CF-Partnership, NNG &amp; 53K'!H62</f>
        <v>-7</v>
      </c>
      <c r="AI62" s="109">
        <f>CASHFLOW!I180-'CF-Partnership, NNG &amp; 53K'!I62</f>
        <v>-6</v>
      </c>
      <c r="AJ62" s="109">
        <f>CASHFLOW!J180-'CF-Partnership, NNG &amp; 53K'!J62</f>
        <v>-7</v>
      </c>
      <c r="AK62" s="109">
        <f>CASHFLOW!K180-'CF-Partnership, NNG &amp; 53K'!K62</f>
        <v>-6</v>
      </c>
      <c r="AL62" s="109">
        <f>CASHFLOW!L180-'CF-Partnership, NNG &amp; 53K'!L62</f>
        <v>-7</v>
      </c>
      <c r="AM62" s="109">
        <f>CASHFLOW!M180-'CF-Partnership, NNG &amp; 53K'!M62</f>
        <v>-6</v>
      </c>
      <c r="AN62" s="109">
        <f>CASHFLOW!N180-'CF-Partnership, NNG &amp; 53K'!N62</f>
        <v>-7</v>
      </c>
      <c r="AO62" s="109">
        <f>CASHFLOW!O180-'CF-Partnership, NNG &amp; 53K'!O62</f>
        <v>-6</v>
      </c>
      <c r="AP62" s="80">
        <f>SUM(AD62:AO62)</f>
        <v>-77</v>
      </c>
      <c r="AQ62" s="99">
        <f>SUM(AD62:AJ62)</f>
        <v>-45</v>
      </c>
      <c r="AR62" s="80">
        <f>AP62-AQ62</f>
        <v>-32</v>
      </c>
      <c r="AS62" s="80"/>
      <c r="AT62" s="222">
        <v>0</v>
      </c>
      <c r="AU62" s="222">
        <v>0</v>
      </c>
      <c r="AV62" s="109">
        <f>AT62-AU62</f>
        <v>0</v>
      </c>
    </row>
    <row r="63" spans="1:48" ht="6" customHeight="1">
      <c r="A63" s="9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</row>
    <row r="64" spans="1:48" ht="12.75" customHeight="1">
      <c r="A64" s="220" t="str">
        <f>CASHFLOW!A182</f>
        <v>INCREASE / (DECREASE) IN TOTAL OBLIGATIONS</v>
      </c>
      <c r="B64" s="63"/>
      <c r="C64" s="63"/>
      <c r="D64" s="113">
        <f>D60+D62</f>
        <v>-268</v>
      </c>
      <c r="E64" s="113">
        <f t="shared" ref="E64:R64" si="37">E60+E62</f>
        <v>-199</v>
      </c>
      <c r="F64" s="113">
        <f t="shared" si="37"/>
        <v>605</v>
      </c>
      <c r="G64" s="113">
        <f t="shared" si="37"/>
        <v>-534</v>
      </c>
      <c r="H64" s="113">
        <f t="shared" si="37"/>
        <v>-195</v>
      </c>
      <c r="I64" s="113">
        <f t="shared" si="37"/>
        <v>3563</v>
      </c>
      <c r="J64" s="113">
        <f t="shared" si="37"/>
        <v>-202</v>
      </c>
      <c r="K64" s="113">
        <f t="shared" si="37"/>
        <v>1822</v>
      </c>
      <c r="L64" s="113">
        <f t="shared" si="37"/>
        <v>603</v>
      </c>
      <c r="M64" s="113">
        <f t="shared" si="37"/>
        <v>-238</v>
      </c>
      <c r="N64" s="113">
        <f t="shared" si="37"/>
        <v>-252</v>
      </c>
      <c r="O64" s="113">
        <f t="shared" si="37"/>
        <v>798</v>
      </c>
      <c r="P64" s="113">
        <f t="shared" si="37"/>
        <v>5503</v>
      </c>
      <c r="Q64" s="113">
        <f t="shared" si="37"/>
        <v>2770</v>
      </c>
      <c r="R64" s="113">
        <f t="shared" si="37"/>
        <v>2733</v>
      </c>
      <c r="S64" s="113"/>
      <c r="T64" s="113">
        <f>T60+T62</f>
        <v>0</v>
      </c>
      <c r="U64" s="113">
        <f>U60+U62</f>
        <v>0</v>
      </c>
      <c r="V64" s="113">
        <f>V60+V62</f>
        <v>0</v>
      </c>
      <c r="W64" s="63"/>
      <c r="X64" s="63"/>
      <c r="Y64" s="63"/>
      <c r="Z64" s="63"/>
      <c r="AA64" s="60" t="str">
        <f>A64</f>
        <v>INCREASE / (DECREASE) IN TOTAL OBLIGATIONS</v>
      </c>
      <c r="AB64" s="63"/>
      <c r="AC64" s="63"/>
      <c r="AD64" s="113">
        <f t="shared" ref="AD64:AO64" si="38">AD60+AD62</f>
        <v>31626</v>
      </c>
      <c r="AE64" s="113">
        <f t="shared" si="38"/>
        <v>-28903</v>
      </c>
      <c r="AF64" s="113">
        <f t="shared" si="38"/>
        <v>7682</v>
      </c>
      <c r="AG64" s="113">
        <f t="shared" si="38"/>
        <v>47985</v>
      </c>
      <c r="AH64" s="113">
        <f t="shared" si="38"/>
        <v>13533</v>
      </c>
      <c r="AI64" s="113">
        <f t="shared" si="38"/>
        <v>-7302</v>
      </c>
      <c r="AJ64" s="113">
        <f t="shared" si="38"/>
        <v>11896</v>
      </c>
      <c r="AK64" s="113">
        <f t="shared" si="38"/>
        <v>9621</v>
      </c>
      <c r="AL64" s="113">
        <f t="shared" si="38"/>
        <v>-6010</v>
      </c>
      <c r="AM64" s="113">
        <f t="shared" si="38"/>
        <v>-16368</v>
      </c>
      <c r="AN64" s="113">
        <f t="shared" si="38"/>
        <v>-21755</v>
      </c>
      <c r="AO64" s="113">
        <f t="shared" si="38"/>
        <v>-15104</v>
      </c>
      <c r="AP64" s="113">
        <f>AP60+AP62</f>
        <v>26901</v>
      </c>
      <c r="AQ64" s="113">
        <f>AQ60+AQ62</f>
        <v>76517</v>
      </c>
      <c r="AR64" s="113">
        <f>AR60+AR62</f>
        <v>-49616</v>
      </c>
      <c r="AS64" s="113"/>
      <c r="AT64" s="113">
        <f>AT60+AT62</f>
        <v>0</v>
      </c>
      <c r="AU64" s="113">
        <f>AU60+AU62</f>
        <v>0</v>
      </c>
      <c r="AV64" s="113">
        <f>AV60+AV62</f>
        <v>0</v>
      </c>
    </row>
    <row r="65" spans="1:48" ht="12.75" customHeight="1">
      <c r="A65" s="60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48" ht="12.75" customHeight="1">
      <c r="B66" s="63"/>
      <c r="C66" s="63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63"/>
      <c r="X66" s="63"/>
      <c r="Y66" s="63"/>
      <c r="Z66" s="63"/>
      <c r="AA66" s="219" t="str">
        <f>CASHFLOW!A184</f>
        <v xml:space="preserve">      CHECK #</v>
      </c>
      <c r="AD66" s="108">
        <f>CASHFLOW!D182-'CF-Partnership, NNG &amp; 53K'!D64-'CF-Partnership, NNG &amp; 53K'!AD64</f>
        <v>0</v>
      </c>
      <c r="AE66" s="108">
        <f>CASHFLOW!E182-'CF-Partnership, NNG &amp; 53K'!E64-'CF-Partnership, NNG &amp; 53K'!AE64</f>
        <v>0</v>
      </c>
      <c r="AF66" s="108">
        <f>CASHFLOW!F182-'CF-Partnership, NNG &amp; 53K'!F64-'CF-Partnership, NNG &amp; 53K'!AF64</f>
        <v>0</v>
      </c>
      <c r="AG66" s="108">
        <f>CASHFLOW!G182-'CF-Partnership, NNG &amp; 53K'!G64-'CF-Partnership, NNG &amp; 53K'!AG64</f>
        <v>0</v>
      </c>
      <c r="AH66" s="108">
        <f>CASHFLOW!H182-'CF-Partnership, NNG &amp; 53K'!H64-'CF-Partnership, NNG &amp; 53K'!AH64</f>
        <v>0</v>
      </c>
      <c r="AI66" s="108">
        <f>CASHFLOW!I182-'CF-Partnership, NNG &amp; 53K'!I64-'CF-Partnership, NNG &amp; 53K'!AI64</f>
        <v>0</v>
      </c>
      <c r="AJ66" s="108">
        <f>CASHFLOW!J182-'CF-Partnership, NNG &amp; 53K'!J64-'CF-Partnership, NNG &amp; 53K'!AJ64</f>
        <v>0</v>
      </c>
      <c r="AK66" s="108">
        <f>CASHFLOW!K182-'CF-Partnership, NNG &amp; 53K'!K64-'CF-Partnership, NNG &amp; 53K'!AK64</f>
        <v>0</v>
      </c>
      <c r="AL66" s="108">
        <f>CASHFLOW!L182-'CF-Partnership, NNG &amp; 53K'!L64-'CF-Partnership, NNG &amp; 53K'!AL64</f>
        <v>0</v>
      </c>
      <c r="AM66" s="108">
        <f>CASHFLOW!M182-'CF-Partnership, NNG &amp; 53K'!M64-'CF-Partnership, NNG &amp; 53K'!AM64</f>
        <v>0</v>
      </c>
      <c r="AN66" s="108">
        <f>CASHFLOW!N182-'CF-Partnership, NNG &amp; 53K'!N64-'CF-Partnership, NNG &amp; 53K'!AN64</f>
        <v>0</v>
      </c>
      <c r="AO66" s="108">
        <f>CASHFLOW!O182-'CF-Partnership, NNG &amp; 53K'!O64-'CF-Partnership, NNG &amp; 53K'!AO64</f>
        <v>0</v>
      </c>
      <c r="AP66" s="108">
        <f>CASHFLOW!P182-'CF-Partnership, NNG &amp; 53K'!P64-'CF-Partnership, NNG &amp; 53K'!AP64</f>
        <v>0</v>
      </c>
      <c r="AQ66" s="108">
        <f>CASHFLOW!Q182-'CF-Partnership, NNG &amp; 53K'!Q64-'CF-Partnership, NNG &amp; 53K'!AQ64</f>
        <v>0</v>
      </c>
      <c r="AR66" s="108">
        <f>CASHFLOW!R182-'CF-Partnership, NNG &amp; 53K'!R64-'CF-Partnership, NNG &amp; 53K'!AR64</f>
        <v>0</v>
      </c>
      <c r="AT66" s="108"/>
      <c r="AU66" s="108"/>
      <c r="AV66" s="108"/>
    </row>
    <row r="67" spans="1:48" ht="6" customHeight="1">
      <c r="A67" s="60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48" ht="12.75" customHeight="1">
      <c r="A68" s="60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</sheetData>
  <phoneticPr fontId="0" type="noConversion"/>
  <printOptions horizontalCentered="1" gridLinesSet="0"/>
  <pageMargins left="0.25" right="0.25" top="0.25" bottom="0.25" header="0.5" footer="0.5"/>
  <pageSetup paperSize="5" scale="70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PrintCashFlow">
                <anchor moveWithCells="1" sizeWithCells="1">
                  <from>
                    <xdr:col>0</xdr:col>
                    <xdr:colOff>1476375</xdr:colOff>
                    <xdr:row>0</xdr:row>
                    <xdr:rowOff>0</xdr:rowOff>
                  </from>
                  <to>
                    <xdr:col>1</xdr:col>
                    <xdr:colOff>76200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BACKUP</vt:lpstr>
      <vt:lpstr>BALSHEET</vt:lpstr>
      <vt:lpstr>CASHFLOW</vt:lpstr>
      <vt:lpstr>CF-Partnership, NNG &amp; 53K</vt:lpstr>
      <vt:lpstr>\L</vt:lpstr>
      <vt:lpstr>BACKUP!\P</vt:lpstr>
      <vt:lpstr>\P</vt:lpstr>
      <vt:lpstr>\R</vt:lpstr>
      <vt:lpstr>_93ASSET</vt:lpstr>
      <vt:lpstr>_93LIAB</vt:lpstr>
      <vt:lpstr>ASSET1</vt:lpstr>
      <vt:lpstr>ASSET2</vt:lpstr>
      <vt:lpstr>ASSET3</vt:lpstr>
      <vt:lpstr>ASSET4</vt:lpstr>
      <vt:lpstr>ASSET5</vt:lpstr>
      <vt:lpstr>CFNNG53K</vt:lpstr>
      <vt:lpstr>CFPARTNERSHIP</vt:lpstr>
      <vt:lpstr>COMPARE</vt:lpstr>
      <vt:lpstr>CORPBS</vt:lpstr>
      <vt:lpstr>CORPBS93</vt:lpstr>
      <vt:lpstr>CORPCASH</vt:lpstr>
      <vt:lpstr>CORPSUM</vt:lpstr>
      <vt:lpstr>'CF-Partnership, NNG &amp; 53K'!FUNDSMO</vt:lpstr>
      <vt:lpstr>FUNDSMO</vt:lpstr>
      <vt:lpstr>'CF-Partnership, NNG &amp; 53K'!FUNDSUM</vt:lpstr>
      <vt:lpstr>FUNDSUM</vt:lpstr>
      <vt:lpstr>LIAB1</vt:lpstr>
      <vt:lpstr>LIAB2</vt:lpstr>
      <vt:lpstr>LIAB3</vt:lpstr>
      <vt:lpstr>LIAB4</vt:lpstr>
      <vt:lpstr>MOASSET</vt:lpstr>
      <vt:lpstr>MOLIAB</vt:lpstr>
      <vt:lpstr>OTHERMO</vt:lpstr>
      <vt:lpstr>OTHERSUM</vt:lpstr>
      <vt:lpstr>PAGE1</vt:lpstr>
      <vt:lpstr>PAGE2</vt:lpstr>
      <vt:lpstr>PRINT</vt:lpstr>
      <vt:lpstr>BACKUP!Print_Area</vt:lpstr>
      <vt:lpstr>BALSHEET!Print_Area</vt:lpstr>
      <vt:lpstr>CASHFLOW!Print_Area</vt:lpstr>
      <vt:lpstr>'CF-Partnership, NNG &amp; 53K'!Print_Area</vt:lpstr>
      <vt:lpstr>BACKUP!Print_Titles</vt:lpstr>
      <vt:lpstr>BALSHEET!Print_Titles</vt:lpstr>
      <vt:lpstr>BACKUP!Print_Titles_MI</vt:lpstr>
      <vt:lpstr>BALSHEET!Print_Titles_MI</vt:lpstr>
      <vt:lpstr>RONASSET</vt:lpstr>
      <vt:lpstr>RONCEMO</vt:lpstr>
      <vt:lpstr>RONCEMO93</vt:lpstr>
      <vt:lpstr>RONLIAB</vt:lpstr>
      <vt:lpstr>BACKUP!TITLE1</vt:lpstr>
      <vt:lpstr>CASHFLOW!TITLE1</vt:lpstr>
      <vt:lpstr>TITLE1</vt:lpstr>
      <vt:lpstr>TITLE2</vt:lpstr>
      <vt:lpstr>VARCE</vt:lpstr>
      <vt:lpstr>VARPLAN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KLEB</dc:creator>
  <cp:lastModifiedBy>Felienne</cp:lastModifiedBy>
  <cp:lastPrinted>2001-11-02T14:31:01Z</cp:lastPrinted>
  <dcterms:created xsi:type="dcterms:W3CDTF">1997-02-24T21:17:21Z</dcterms:created>
  <dcterms:modified xsi:type="dcterms:W3CDTF">2014-09-05T11:13:44Z</dcterms:modified>
</cp:coreProperties>
</file>