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870" windowHeight="4545" firstSheet="1" activeTab="2"/>
  </bookViews>
  <sheets>
    <sheet name="Mar99Notes" sheetId="7" r:id="rId1"/>
    <sheet name="Mar99YTD" sheetId="5" r:id="rId2"/>
    <sheet name="SEPTCM " sheetId="38" r:id="rId3"/>
    <sheet name="SEPTYTD" sheetId="39" r:id="rId4"/>
    <sheet name="AUGCM " sheetId="36" r:id="rId5"/>
    <sheet name="AUGYTD " sheetId="37" r:id="rId6"/>
    <sheet name="JulyCM " sheetId="34" r:id="rId7"/>
    <sheet name="JULYYTD " sheetId="35" r:id="rId8"/>
    <sheet name="JuneCM" sheetId="33" r:id="rId9"/>
    <sheet name="JUNEYTD" sheetId="32" r:id="rId10"/>
    <sheet name="MayCM" sheetId="31" r:id="rId11"/>
    <sheet name="MayYTD" sheetId="30" r:id="rId12"/>
    <sheet name="AprCM" sheetId="29" r:id="rId13"/>
    <sheet name="AprYTD" sheetId="28" r:id="rId14"/>
    <sheet name="MarCM" sheetId="27" r:id="rId15"/>
    <sheet name="MarYTD" sheetId="26" r:id="rId16"/>
    <sheet name="FebYTD" sheetId="3" r:id="rId17"/>
    <sheet name="FebCM" sheetId="4" r:id="rId18"/>
    <sheet name="JAN2000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Fill" localSheetId="18" hidden="1">'JAN2000'!#REF!</definedName>
    <definedName name="_Regression_Int" localSheetId="18" hidden="1">1</definedName>
    <definedName name="_Table1_Out" localSheetId="18" hidden="1">'JAN2000'!#REF!</definedName>
    <definedName name="AACFHDRCOL">'JAN2000'!$A$1:$A$57</definedName>
    <definedName name="AACFHDRROW">'JAN2000'!$A$1:$P$5</definedName>
    <definedName name="AACFWKS">'JAN2000'!$C$1:$P$59</definedName>
    <definedName name="AACFWKS1">'JAN2000'!$A$1</definedName>
    <definedName name="AACFWKS2">'JAN2000'!#REF!</definedName>
    <definedName name="AAWSSIDEWAYS">'JAN2000'!$A$1:$P$58</definedName>
    <definedName name="ADJUSTMENTS">'JAN2000'!#REF!</definedName>
    <definedName name="ASSETS">'JAN2000'!#REF!</definedName>
    <definedName name="AWAACF">'JAN2000'!$C$1:$P$57</definedName>
    <definedName name="AWBALSHT">'JAN2000'!#REF!</definedName>
    <definedName name="AWCFWKS">'JAN2000'!#REF!</definedName>
    <definedName name="AWGRPCF">'JAN2000'!#REF!</definedName>
    <definedName name="AWGRPCF_BRDR">'JAN2000'!#REF!</definedName>
    <definedName name="BALSHT">'JAN2000'!#REF!</definedName>
    <definedName name="BB">'JAN2000'!#REF!</definedName>
    <definedName name="BBGROUP">'JAN2000'!#REF!</definedName>
    <definedName name="BBGROUP1">'JAN2000'!#REF!</definedName>
    <definedName name="BBK">'JAN2000'!#REF!</definedName>
    <definedName name="_BBK1">'JAN2000'!#REF!</definedName>
    <definedName name="BBTITLE">'JAN2000'!#REF!</definedName>
    <definedName name="BLANK">'JAN2000'!#REF!</definedName>
    <definedName name="BLANK1">'JAN2000'!#REF!</definedName>
    <definedName name="BORDERC">'JAN2000'!#REF!</definedName>
    <definedName name="BORDERC1">'JAN2000'!#REF!</definedName>
    <definedName name="BORDERCAAWP">'JAN2000'!$A$1:$B$57</definedName>
    <definedName name="BORDERNONCUR">'JAN2000'!#REF!</definedName>
    <definedName name="BORDERR">'JAN2000'!#REF!</definedName>
    <definedName name="BORDERR1">'JAN2000'!#REF!</definedName>
    <definedName name="BORDERRAAWP">'JAN2000'!$A$1:$A$5</definedName>
    <definedName name="BORDERRWWAP">'JAN2000'!$A$1:$P$5</definedName>
    <definedName name="BS_TitleRow">'JAN2000'!#REF!</definedName>
    <definedName name="BSTITLE">'JAN2000'!#REF!</definedName>
    <definedName name="BSTITLE1">'JAN2000'!#REF!</definedName>
    <definedName name="CASHFLOW">'JAN2000'!#REF!</definedName>
    <definedName name="CASHFLOW1">'JAN2000'!#REF!</definedName>
    <definedName name="CATEGORY">'JAN2000'!#REF!</definedName>
    <definedName name="CATEGORY2">'JAN2000'!#REF!</definedName>
    <definedName name="CF">'JAN2000'!#REF!</definedName>
    <definedName name="CF_WKS_TitleRow">'JAN2000'!#REF!</definedName>
    <definedName name="CFTITLE">'JAN2000'!#REF!</definedName>
    <definedName name="CFTITLE1">'JAN2000'!#REF!</definedName>
    <definedName name="CHGNONCUR">'JAN2000'!#REF!</definedName>
    <definedName name="CM">'JAN2000'!#REF!</definedName>
    <definedName name="CO_NAME" localSheetId="18">'JAN2000'!#REF!</definedName>
    <definedName name="DATE1">'JAN2000'!#REF!</definedName>
    <definedName name="DATE2">'JAN2000'!#REF!</definedName>
    <definedName name="DATE3">'JAN2000'!#REF!</definedName>
    <definedName name="DATE4">'JAN2000'!#REF!</definedName>
    <definedName name="DATE5">'JAN2000'!#REF!</definedName>
    <definedName name="DATEPRYR">'JAN2000'!#REF!</definedName>
    <definedName name="DESC">'JAN2000'!#REF!</definedName>
    <definedName name="GROUP">'JAN2000'!#REF!</definedName>
    <definedName name="GROUPYTD">'JAN2000'!#REF!</definedName>
    <definedName name="GrpPrtRng">'JAN2000'!#REF!</definedName>
    <definedName name="GRPTITLE">'JAN2000'!#REF!</definedName>
    <definedName name="GRPTITLE1">'JAN2000'!#REF!</definedName>
    <definedName name="GRPTITLE2">'JAN2000'!#REF!</definedName>
    <definedName name="GrpTitleCol">'JAN2000'!#REF!</definedName>
    <definedName name="ICGROUP">'JAN2000'!#REF!</definedName>
    <definedName name="LIABILITIES">'JAN2000'!#REF!</definedName>
    <definedName name="NAME1">'JAN2000'!#REF!</definedName>
    <definedName name="OTHERBORDER">'JAN2000'!#REF!</definedName>
    <definedName name="OTHERNC">'JAN2000'!#REF!</definedName>
    <definedName name="OTHERTITLES">'JAN2000'!#REF!</definedName>
    <definedName name="_xlnm.Print_Area" localSheetId="17">FebCM!$A$1:$Q$62</definedName>
    <definedName name="_xlnm.Print_Area" localSheetId="16">FebYTD!$A$1:$Q$64</definedName>
    <definedName name="_xlnm.Print_Area" localSheetId="18">'JAN2000'!$C$1:$P$62</definedName>
    <definedName name="_xlnm.Print_Area" localSheetId="1">Mar99YTD!$A$1:$R$64</definedName>
    <definedName name="_xlnm.Print_Area" localSheetId="11">MayYTD!$A$1:$R$61</definedName>
    <definedName name="Print_Area_MI">'JAN2000'!#REF!</definedName>
    <definedName name="_xlnm.Print_Titles" localSheetId="18">'JAN2000'!$A:$A</definedName>
    <definedName name="Print_Titles_MI">'JAN2000'!#REF!,'JAN2000'!#REF!</definedName>
    <definedName name="PRIORBB">'JAN2000'!#REF!</definedName>
    <definedName name="PRT_RNG_AA">'JAN2000'!$C$6:$P$59</definedName>
    <definedName name="REPORT">'JAN2000'!#REF!</definedName>
    <definedName name="Titles_Rptg_Grp_Wks">'JAN2000'!#REF!</definedName>
    <definedName name="YTDBB">'JAN2000'!#REF!</definedName>
  </definedNames>
  <calcPr calcId="152511" fullCalcOnLoad="1"/>
</workbook>
</file>

<file path=xl/calcChain.xml><?xml version="1.0" encoding="utf-8"?>
<calcChain xmlns="http://schemas.openxmlformats.org/spreadsheetml/2006/main">
  <c r="O14" i="29" l="1"/>
  <c r="P14" i="29"/>
  <c r="E15" i="29"/>
  <c r="F15" i="29"/>
  <c r="G15" i="29"/>
  <c r="H15" i="29"/>
  <c r="I15" i="29"/>
  <c r="J15" i="29"/>
  <c r="K15" i="29"/>
  <c r="L15" i="29"/>
  <c r="M15" i="29"/>
  <c r="N15" i="29" s="1"/>
  <c r="O15" i="29"/>
  <c r="P15" i="29"/>
  <c r="R15" i="29"/>
  <c r="E17" i="29"/>
  <c r="F17" i="29"/>
  <c r="G17" i="29"/>
  <c r="H17" i="29"/>
  <c r="I17" i="29"/>
  <c r="J17" i="29"/>
  <c r="K17" i="29"/>
  <c r="L17" i="29"/>
  <c r="M17" i="29"/>
  <c r="N17" i="29" s="1"/>
  <c r="O17" i="29"/>
  <c r="P17" i="29"/>
  <c r="G18" i="29"/>
  <c r="H18" i="29"/>
  <c r="I18" i="29"/>
  <c r="J18" i="29"/>
  <c r="K18" i="29"/>
  <c r="L18" i="29"/>
  <c r="N18" i="29" s="1"/>
  <c r="M18" i="29"/>
  <c r="O18" i="29"/>
  <c r="P18" i="29"/>
  <c r="E22" i="29"/>
  <c r="F22" i="29"/>
  <c r="G22" i="29"/>
  <c r="H22" i="29"/>
  <c r="I22" i="29"/>
  <c r="J22" i="29"/>
  <c r="K22" i="29"/>
  <c r="L22" i="29"/>
  <c r="N22" i="29" s="1"/>
  <c r="M22" i="29"/>
  <c r="O22" i="29"/>
  <c r="P22" i="29"/>
  <c r="E23" i="29"/>
  <c r="F23" i="29"/>
  <c r="G23" i="29"/>
  <c r="H23" i="29"/>
  <c r="I23" i="29"/>
  <c r="J23" i="29"/>
  <c r="K23" i="29"/>
  <c r="L23" i="29"/>
  <c r="M23" i="29"/>
  <c r="N23" i="29" s="1"/>
  <c r="O23" i="29"/>
  <c r="P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E25" i="29"/>
  <c r="F25" i="29"/>
  <c r="G25" i="29"/>
  <c r="G31" i="29" s="1"/>
  <c r="H25" i="29"/>
  <c r="I25" i="29"/>
  <c r="J25" i="29"/>
  <c r="K25" i="29"/>
  <c r="L25" i="29"/>
  <c r="M25" i="29"/>
  <c r="N25" i="29" s="1"/>
  <c r="O25" i="29"/>
  <c r="P25" i="29"/>
  <c r="E26" i="29"/>
  <c r="F26" i="29"/>
  <c r="G26" i="29"/>
  <c r="H26" i="29"/>
  <c r="I26" i="29"/>
  <c r="J26" i="29"/>
  <c r="K26" i="29"/>
  <c r="L26" i="29"/>
  <c r="N26" i="29" s="1"/>
  <c r="M26" i="29"/>
  <c r="O26" i="29"/>
  <c r="P26" i="29"/>
  <c r="E27" i="29"/>
  <c r="D27" i="29" s="1"/>
  <c r="F27" i="29"/>
  <c r="G27" i="29"/>
  <c r="H27" i="29"/>
  <c r="I27" i="29"/>
  <c r="J27" i="29"/>
  <c r="K27" i="29"/>
  <c r="L27" i="29"/>
  <c r="M27" i="29"/>
  <c r="N27" i="29" s="1"/>
  <c r="O27" i="29"/>
  <c r="P27" i="29"/>
  <c r="E28" i="29"/>
  <c r="F28" i="29"/>
  <c r="G28" i="29"/>
  <c r="H28" i="29"/>
  <c r="I28" i="29"/>
  <c r="J28" i="29"/>
  <c r="D28" i="29" s="1"/>
  <c r="K28" i="29"/>
  <c r="L28" i="29"/>
  <c r="N28" i="29" s="1"/>
  <c r="M28" i="29"/>
  <c r="O28" i="29"/>
  <c r="P28" i="29"/>
  <c r="B29" i="29"/>
  <c r="E29" i="29"/>
  <c r="F29" i="29"/>
  <c r="G29" i="29"/>
  <c r="H29" i="29"/>
  <c r="I29" i="29"/>
  <c r="J29" i="29"/>
  <c r="K29" i="29"/>
  <c r="L29" i="29"/>
  <c r="M29" i="29"/>
  <c r="N29" i="29" s="1"/>
  <c r="O29" i="29"/>
  <c r="D29" i="29" s="1"/>
  <c r="P29" i="29"/>
  <c r="E30" i="29"/>
  <c r="F30" i="29"/>
  <c r="G30" i="29"/>
  <c r="H30" i="29"/>
  <c r="I30" i="29"/>
  <c r="J30" i="29"/>
  <c r="K30" i="29"/>
  <c r="L30" i="29"/>
  <c r="D30" i="29" s="1"/>
  <c r="M30" i="29"/>
  <c r="O30" i="29"/>
  <c r="P30" i="29"/>
  <c r="E31" i="29"/>
  <c r="E36" i="29"/>
  <c r="F36" i="29"/>
  <c r="G36" i="29"/>
  <c r="H36" i="29"/>
  <c r="I36" i="29"/>
  <c r="J36" i="29"/>
  <c r="K36" i="29"/>
  <c r="L36" i="29"/>
  <c r="M36" i="29"/>
  <c r="O36" i="29"/>
  <c r="P36" i="29"/>
  <c r="E37" i="29"/>
  <c r="F37" i="29"/>
  <c r="G37" i="29"/>
  <c r="H37" i="29"/>
  <c r="H42" i="29" s="1"/>
  <c r="I37" i="29"/>
  <c r="J37" i="29"/>
  <c r="D37" i="29" s="1"/>
  <c r="B37" i="29" s="1"/>
  <c r="K37" i="29"/>
  <c r="L37" i="29"/>
  <c r="M37" i="29"/>
  <c r="O37" i="29"/>
  <c r="P37" i="29"/>
  <c r="G38" i="29"/>
  <c r="H38" i="29"/>
  <c r="I38" i="29"/>
  <c r="J38" i="29"/>
  <c r="K38" i="29"/>
  <c r="L38" i="29"/>
  <c r="N38" i="29" s="1"/>
  <c r="M38" i="29"/>
  <c r="O38" i="29"/>
  <c r="O42" i="29" s="1"/>
  <c r="P38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E40" i="29"/>
  <c r="F40" i="29"/>
  <c r="G40" i="29"/>
  <c r="H40" i="29"/>
  <c r="I40" i="29"/>
  <c r="J40" i="29"/>
  <c r="K40" i="29"/>
  <c r="L40" i="29"/>
  <c r="M40" i="29"/>
  <c r="N40" i="29" s="1"/>
  <c r="O40" i="29"/>
  <c r="P40" i="29"/>
  <c r="R40" i="29"/>
  <c r="E41" i="29"/>
  <c r="F41" i="29"/>
  <c r="G41" i="29"/>
  <c r="H41" i="29"/>
  <c r="I41" i="29"/>
  <c r="J41" i="29"/>
  <c r="K41" i="29"/>
  <c r="L41" i="29"/>
  <c r="N41" i="29" s="1"/>
  <c r="M41" i="29"/>
  <c r="O41" i="29"/>
  <c r="P41" i="29"/>
  <c r="C42" i="29"/>
  <c r="I42" i="29"/>
  <c r="K42" i="29"/>
  <c r="M42" i="29"/>
  <c r="E45" i="29"/>
  <c r="F45" i="29"/>
  <c r="F50" i="29" s="1"/>
  <c r="G45" i="29"/>
  <c r="H45" i="29"/>
  <c r="H50" i="29" s="1"/>
  <c r="I45" i="29"/>
  <c r="J45" i="29"/>
  <c r="K45" i="29"/>
  <c r="L45" i="29"/>
  <c r="L50" i="29" s="1"/>
  <c r="M45" i="29"/>
  <c r="O45" i="29"/>
  <c r="O50" i="29" s="1"/>
  <c r="P45" i="29"/>
  <c r="E46" i="29"/>
  <c r="E50" i="29" s="1"/>
  <c r="F46" i="29"/>
  <c r="G46" i="29"/>
  <c r="G50" i="29" s="1"/>
  <c r="H46" i="29"/>
  <c r="I46" i="29"/>
  <c r="J46" i="29"/>
  <c r="K46" i="29"/>
  <c r="L46" i="29"/>
  <c r="M46" i="29"/>
  <c r="M50" i="29" s="1"/>
  <c r="O46" i="29"/>
  <c r="P46" i="29"/>
  <c r="E47" i="29"/>
  <c r="F47" i="29"/>
  <c r="G47" i="29"/>
  <c r="H47" i="29"/>
  <c r="I47" i="29"/>
  <c r="J47" i="29"/>
  <c r="K47" i="29"/>
  <c r="L47" i="29"/>
  <c r="M47" i="29"/>
  <c r="O47" i="29"/>
  <c r="P47" i="29"/>
  <c r="E48" i="29"/>
  <c r="F48" i="29"/>
  <c r="G48" i="29"/>
  <c r="H48" i="29"/>
  <c r="I48" i="29"/>
  <c r="J48" i="29"/>
  <c r="K48" i="29"/>
  <c r="L48" i="29"/>
  <c r="M48" i="29"/>
  <c r="O48" i="29"/>
  <c r="D48" i="29" s="1"/>
  <c r="B48" i="29" s="1"/>
  <c r="P48" i="29"/>
  <c r="E49" i="29"/>
  <c r="F49" i="29"/>
  <c r="G49" i="29"/>
  <c r="H49" i="29"/>
  <c r="I49" i="29"/>
  <c r="J49" i="29"/>
  <c r="K49" i="29"/>
  <c r="L49" i="29"/>
  <c r="M49" i="29"/>
  <c r="O49" i="29"/>
  <c r="P49" i="29"/>
  <c r="I50" i="29"/>
  <c r="K50" i="29"/>
  <c r="N50" i="29"/>
  <c r="R50" i="29"/>
  <c r="P54" i="29"/>
  <c r="E58" i="29"/>
  <c r="F58" i="29"/>
  <c r="G58" i="29"/>
  <c r="H58" i="29"/>
  <c r="I58" i="29"/>
  <c r="J58" i="29"/>
  <c r="K58" i="29"/>
  <c r="L58" i="29"/>
  <c r="M58" i="29"/>
  <c r="O58" i="29"/>
  <c r="P58" i="29"/>
  <c r="E8" i="28"/>
  <c r="F8" i="28"/>
  <c r="G8" i="28"/>
  <c r="H8" i="28"/>
  <c r="I8" i="28"/>
  <c r="J8" i="28"/>
  <c r="K8" i="28"/>
  <c r="L8" i="28"/>
  <c r="M8" i="28"/>
  <c r="O8" i="28"/>
  <c r="P8" i="28"/>
  <c r="R8" i="28"/>
  <c r="E9" i="28"/>
  <c r="F9" i="28"/>
  <c r="G9" i="28"/>
  <c r="H9" i="28"/>
  <c r="I9" i="28"/>
  <c r="I10" i="28" s="1"/>
  <c r="J9" i="28"/>
  <c r="K9" i="28"/>
  <c r="K10" i="28" s="1"/>
  <c r="L9" i="28"/>
  <c r="M9" i="28"/>
  <c r="O9" i="28"/>
  <c r="P9" i="28"/>
  <c r="R9" i="28"/>
  <c r="R10" i="28" s="1"/>
  <c r="F10" i="28"/>
  <c r="H10" i="28"/>
  <c r="J10" i="28"/>
  <c r="P10" i="28"/>
  <c r="P19" i="28" s="1"/>
  <c r="P33" i="28" s="1"/>
  <c r="P52" i="28" s="1"/>
  <c r="P56" i="28" s="1"/>
  <c r="P60" i="28" s="1"/>
  <c r="E12" i="28"/>
  <c r="F12" i="28"/>
  <c r="G12" i="28"/>
  <c r="H12" i="28"/>
  <c r="I12" i="28"/>
  <c r="J12" i="28"/>
  <c r="K12" i="28"/>
  <c r="L12" i="28"/>
  <c r="M12" i="28"/>
  <c r="N12" i="28" s="1"/>
  <c r="O12" i="28"/>
  <c r="P12" i="28"/>
  <c r="R12" i="28"/>
  <c r="E13" i="28"/>
  <c r="F13" i="28"/>
  <c r="G13" i="28"/>
  <c r="H13" i="28"/>
  <c r="I13" i="28"/>
  <c r="J13" i="28"/>
  <c r="K13" i="28"/>
  <c r="L13" i="28"/>
  <c r="N13" i="28" s="1"/>
  <c r="M13" i="28"/>
  <c r="O13" i="28"/>
  <c r="P13" i="28"/>
  <c r="R13" i="28"/>
  <c r="E14" i="28"/>
  <c r="D14" i="28" s="1"/>
  <c r="B14" i="28" s="1"/>
  <c r="F14" i="28"/>
  <c r="G14" i="28"/>
  <c r="H14" i="28"/>
  <c r="I14" i="28"/>
  <c r="J14" i="28"/>
  <c r="K14" i="28"/>
  <c r="L14" i="28"/>
  <c r="M14" i="28"/>
  <c r="N14" i="28"/>
  <c r="R14" i="28"/>
  <c r="R14" i="29" s="1"/>
  <c r="D15" i="28"/>
  <c r="B15" i="28" s="1"/>
  <c r="N15" i="28"/>
  <c r="E16" i="28"/>
  <c r="D16" i="28" s="1"/>
  <c r="B16" i="28" s="1"/>
  <c r="F16" i="28"/>
  <c r="G16" i="28"/>
  <c r="H16" i="28"/>
  <c r="I16" i="28"/>
  <c r="J16" i="28"/>
  <c r="K16" i="28"/>
  <c r="L16" i="28"/>
  <c r="M16" i="28"/>
  <c r="O16" i="28"/>
  <c r="P16" i="28"/>
  <c r="R16" i="28"/>
  <c r="D17" i="28"/>
  <c r="B17" i="28" s="1"/>
  <c r="N17" i="28"/>
  <c r="R17" i="28"/>
  <c r="E18" i="28"/>
  <c r="F18" i="28"/>
  <c r="N18" i="28"/>
  <c r="R18" i="28"/>
  <c r="B22" i="28"/>
  <c r="D22" i="28"/>
  <c r="R22" i="28"/>
  <c r="D23" i="28"/>
  <c r="N23" i="28"/>
  <c r="R23" i="28"/>
  <c r="D24" i="28"/>
  <c r="B24" i="28" s="1"/>
  <c r="N24" i="28"/>
  <c r="R24" i="28"/>
  <c r="D25" i="28"/>
  <c r="B25" i="28" s="1"/>
  <c r="N25" i="28"/>
  <c r="R25" i="28"/>
  <c r="D26" i="28"/>
  <c r="B26" i="28" s="1"/>
  <c r="N26" i="28"/>
  <c r="R26" i="28"/>
  <c r="D27" i="28"/>
  <c r="N27" i="28"/>
  <c r="R27" i="28"/>
  <c r="R27" i="29" s="1"/>
  <c r="D28" i="28"/>
  <c r="B28" i="28" s="1"/>
  <c r="N28" i="28"/>
  <c r="R28" i="28"/>
  <c r="D29" i="28"/>
  <c r="B29" i="28" s="1"/>
  <c r="N29" i="28"/>
  <c r="R29" i="28"/>
  <c r="R29" i="29" s="1"/>
  <c r="D30" i="28"/>
  <c r="B30" i="28" s="1"/>
  <c r="N30" i="28"/>
  <c r="R30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D36" i="28"/>
  <c r="B36" i="28" s="1"/>
  <c r="D37" i="28"/>
  <c r="B37" i="28" s="1"/>
  <c r="E38" i="28"/>
  <c r="F38" i="28"/>
  <c r="F42" i="28" s="1"/>
  <c r="D39" i="28"/>
  <c r="B39" i="28" s="1"/>
  <c r="R39" i="28"/>
  <c r="B40" i="28"/>
  <c r="D40" i="28"/>
  <c r="B41" i="28"/>
  <c r="D41" i="28"/>
  <c r="C42" i="28"/>
  <c r="E42" i="28"/>
  <c r="G42" i="28"/>
  <c r="H42" i="28"/>
  <c r="I42" i="28"/>
  <c r="J42" i="28"/>
  <c r="K42" i="28"/>
  <c r="L42" i="28"/>
  <c r="M42" i="28"/>
  <c r="O42" i="28"/>
  <c r="P42" i="28"/>
  <c r="R42" i="28"/>
  <c r="D45" i="28"/>
  <c r="B45" i="28" s="1"/>
  <c r="D46" i="28"/>
  <c r="D47" i="28"/>
  <c r="B47" i="28" s="1"/>
  <c r="D48" i="28"/>
  <c r="B48" i="28" s="1"/>
  <c r="D49" i="28"/>
  <c r="B49" i="28" s="1"/>
  <c r="E50" i="28"/>
  <c r="F50" i="28"/>
  <c r="G50" i="28"/>
  <c r="H50" i="28"/>
  <c r="I50" i="28"/>
  <c r="J50" i="28"/>
  <c r="K50" i="28"/>
  <c r="L50" i="28"/>
  <c r="M50" i="28"/>
  <c r="O50" i="28"/>
  <c r="P50" i="28"/>
  <c r="R50" i="28"/>
  <c r="B54" i="28"/>
  <c r="D54" i="28"/>
  <c r="R54" i="28"/>
  <c r="B58" i="28"/>
  <c r="D58" i="28"/>
  <c r="E15" i="36"/>
  <c r="F15" i="36"/>
  <c r="G15" i="36"/>
  <c r="H15" i="36"/>
  <c r="I15" i="36"/>
  <c r="J15" i="36"/>
  <c r="K15" i="36"/>
  <c r="L15" i="36"/>
  <c r="N15" i="36" s="1"/>
  <c r="M15" i="36"/>
  <c r="O15" i="36"/>
  <c r="P15" i="36"/>
  <c r="D15" i="36" s="1"/>
  <c r="B15" i="36" s="1"/>
  <c r="Q15" i="36"/>
  <c r="S15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D17" i="36" s="1"/>
  <c r="Q17" i="36"/>
  <c r="G18" i="36"/>
  <c r="H18" i="36"/>
  <c r="I18" i="36"/>
  <c r="J18" i="36"/>
  <c r="K18" i="36"/>
  <c r="L18" i="36"/>
  <c r="M18" i="36"/>
  <c r="N18" i="36"/>
  <c r="O18" i="36"/>
  <c r="P18" i="36"/>
  <c r="Q18" i="36"/>
  <c r="E22" i="36"/>
  <c r="F22" i="36"/>
  <c r="G22" i="36"/>
  <c r="H22" i="36"/>
  <c r="I22" i="36"/>
  <c r="J22" i="36"/>
  <c r="K22" i="36"/>
  <c r="L22" i="36"/>
  <c r="D22" i="36" s="1"/>
  <c r="M22" i="36"/>
  <c r="O22" i="36"/>
  <c r="P22" i="36"/>
  <c r="Q22" i="36"/>
  <c r="G23" i="36"/>
  <c r="H23" i="36"/>
  <c r="H31" i="36" s="1"/>
  <c r="I23" i="36"/>
  <c r="J23" i="36"/>
  <c r="K23" i="36"/>
  <c r="L23" i="36"/>
  <c r="M23" i="36"/>
  <c r="N23" i="36"/>
  <c r="P23" i="36"/>
  <c r="Q23" i="36"/>
  <c r="E24" i="36"/>
  <c r="F24" i="36"/>
  <c r="D24" i="36" s="1"/>
  <c r="G24" i="36"/>
  <c r="H24" i="36"/>
  <c r="I24" i="36"/>
  <c r="J24" i="36"/>
  <c r="K24" i="36"/>
  <c r="K31" i="36" s="1"/>
  <c r="L24" i="36"/>
  <c r="M24" i="36"/>
  <c r="N24" i="36"/>
  <c r="O24" i="36"/>
  <c r="P24" i="36"/>
  <c r="Q24" i="36"/>
  <c r="E25" i="36"/>
  <c r="F25" i="36"/>
  <c r="D25" i="36" s="1"/>
  <c r="G25" i="36"/>
  <c r="H25" i="36"/>
  <c r="I25" i="36"/>
  <c r="J25" i="36"/>
  <c r="K25" i="36"/>
  <c r="L25" i="36"/>
  <c r="M25" i="36"/>
  <c r="N25" i="36"/>
  <c r="O25" i="36"/>
  <c r="P25" i="36"/>
  <c r="Q25" i="36"/>
  <c r="E26" i="36"/>
  <c r="F26" i="36"/>
  <c r="D26" i="36" s="1"/>
  <c r="G26" i="36"/>
  <c r="H26" i="36"/>
  <c r="I26" i="36"/>
  <c r="J26" i="36"/>
  <c r="K26" i="36"/>
  <c r="L26" i="36"/>
  <c r="M26" i="36"/>
  <c r="N26" i="36"/>
  <c r="O26" i="36"/>
  <c r="P26" i="36"/>
  <c r="Q26" i="36"/>
  <c r="E27" i="36"/>
  <c r="F27" i="36"/>
  <c r="D27" i="36" s="1"/>
  <c r="G27" i="36"/>
  <c r="H27" i="36"/>
  <c r="I27" i="36"/>
  <c r="J27" i="36"/>
  <c r="K27" i="36"/>
  <c r="L27" i="36"/>
  <c r="M27" i="36"/>
  <c r="N27" i="36"/>
  <c r="O27" i="36"/>
  <c r="P27" i="36"/>
  <c r="Q27" i="36"/>
  <c r="E28" i="36"/>
  <c r="F28" i="36"/>
  <c r="G28" i="36"/>
  <c r="H28" i="36"/>
  <c r="I28" i="36"/>
  <c r="J28" i="36"/>
  <c r="K28" i="36"/>
  <c r="L28" i="36"/>
  <c r="M28" i="36"/>
  <c r="N28" i="36"/>
  <c r="O28" i="36"/>
  <c r="D28" i="36" s="1"/>
  <c r="P28" i="36"/>
  <c r="Q28" i="36"/>
  <c r="E29" i="36"/>
  <c r="F29" i="36"/>
  <c r="G29" i="36"/>
  <c r="H29" i="36"/>
  <c r="I29" i="36"/>
  <c r="J29" i="36"/>
  <c r="K29" i="36"/>
  <c r="L29" i="36"/>
  <c r="M29" i="36"/>
  <c r="N29" i="36"/>
  <c r="O29" i="36"/>
  <c r="D29" i="36" s="1"/>
  <c r="P29" i="36"/>
  <c r="Q29" i="36"/>
  <c r="E30" i="36"/>
  <c r="F30" i="36"/>
  <c r="G30" i="36"/>
  <c r="H30" i="36"/>
  <c r="I30" i="36"/>
  <c r="J30" i="36"/>
  <c r="K30" i="36"/>
  <c r="L30" i="36"/>
  <c r="M30" i="36"/>
  <c r="N30" i="36"/>
  <c r="O30" i="36"/>
  <c r="D30" i="36" s="1"/>
  <c r="P30" i="36"/>
  <c r="Q30" i="36"/>
  <c r="I31" i="36"/>
  <c r="J31" i="36"/>
  <c r="L31" i="36"/>
  <c r="M31" i="36"/>
  <c r="P31" i="36"/>
  <c r="Q31" i="36"/>
  <c r="E36" i="36"/>
  <c r="F36" i="36"/>
  <c r="D36" i="36" s="1"/>
  <c r="G36" i="36"/>
  <c r="H36" i="36"/>
  <c r="I36" i="36"/>
  <c r="J36" i="36"/>
  <c r="K36" i="36"/>
  <c r="L36" i="36"/>
  <c r="M36" i="36"/>
  <c r="N36" i="36"/>
  <c r="O36" i="36"/>
  <c r="P36" i="36"/>
  <c r="Q36" i="36"/>
  <c r="S36" i="36"/>
  <c r="E37" i="36"/>
  <c r="F37" i="36"/>
  <c r="G37" i="36"/>
  <c r="H37" i="36"/>
  <c r="I37" i="36"/>
  <c r="J37" i="36"/>
  <c r="K37" i="36"/>
  <c r="L37" i="36"/>
  <c r="N37" i="36" s="1"/>
  <c r="M37" i="36"/>
  <c r="O37" i="36"/>
  <c r="P37" i="36"/>
  <c r="Q37" i="36"/>
  <c r="S37" i="36"/>
  <c r="G38" i="36"/>
  <c r="H38" i="36"/>
  <c r="I38" i="36"/>
  <c r="J38" i="36"/>
  <c r="K38" i="36"/>
  <c r="L38" i="36"/>
  <c r="N38" i="36" s="1"/>
  <c r="M38" i="36"/>
  <c r="O38" i="36"/>
  <c r="P38" i="36"/>
  <c r="Q38" i="36"/>
  <c r="S38" i="36"/>
  <c r="E39" i="36"/>
  <c r="F39" i="36"/>
  <c r="G39" i="36"/>
  <c r="H39" i="36"/>
  <c r="I39" i="36"/>
  <c r="J39" i="36"/>
  <c r="K39" i="36"/>
  <c r="L39" i="36"/>
  <c r="N39" i="36" s="1"/>
  <c r="M39" i="36"/>
  <c r="O39" i="36"/>
  <c r="P39" i="36"/>
  <c r="Q39" i="36"/>
  <c r="E40" i="36"/>
  <c r="F40" i="36"/>
  <c r="G40" i="36"/>
  <c r="H40" i="36"/>
  <c r="I40" i="36"/>
  <c r="J40" i="36"/>
  <c r="K40" i="36"/>
  <c r="L40" i="36"/>
  <c r="N40" i="36" s="1"/>
  <c r="M40" i="36"/>
  <c r="O40" i="36"/>
  <c r="D40" i="36" s="1"/>
  <c r="B40" i="36" s="1"/>
  <c r="P40" i="36"/>
  <c r="Q40" i="36"/>
  <c r="S40" i="36"/>
  <c r="F41" i="36"/>
  <c r="G41" i="36"/>
  <c r="H41" i="36"/>
  <c r="I41" i="36"/>
  <c r="J41" i="36"/>
  <c r="J42" i="36" s="1"/>
  <c r="K41" i="36"/>
  <c r="L41" i="36"/>
  <c r="M41" i="36"/>
  <c r="N41" i="36"/>
  <c r="O41" i="36"/>
  <c r="P41" i="36"/>
  <c r="D41" i="36" s="1"/>
  <c r="B41" i="36" s="1"/>
  <c r="Q41" i="36"/>
  <c r="S41" i="36"/>
  <c r="C42" i="36"/>
  <c r="I42" i="36"/>
  <c r="K42" i="36"/>
  <c r="M42" i="36"/>
  <c r="Q42" i="36"/>
  <c r="E45" i="36"/>
  <c r="F45" i="36"/>
  <c r="G45" i="36"/>
  <c r="H45" i="36"/>
  <c r="I45" i="36"/>
  <c r="I50" i="36" s="1"/>
  <c r="J45" i="36"/>
  <c r="K45" i="36"/>
  <c r="L45" i="36"/>
  <c r="M45" i="36"/>
  <c r="N45" i="36" s="1"/>
  <c r="N50" i="36" s="1"/>
  <c r="O45" i="36"/>
  <c r="P45" i="36"/>
  <c r="Q45" i="36"/>
  <c r="S45" i="36"/>
  <c r="E46" i="36"/>
  <c r="F46" i="36"/>
  <c r="G46" i="36"/>
  <c r="H46" i="36"/>
  <c r="I46" i="36"/>
  <c r="J46" i="36"/>
  <c r="K46" i="36"/>
  <c r="L46" i="36"/>
  <c r="M46" i="36"/>
  <c r="N46" i="36" s="1"/>
  <c r="O46" i="36"/>
  <c r="P46" i="36"/>
  <c r="Q46" i="36"/>
  <c r="S46" i="36"/>
  <c r="E47" i="36"/>
  <c r="F47" i="36"/>
  <c r="G47" i="36"/>
  <c r="H47" i="36"/>
  <c r="I47" i="36"/>
  <c r="J47" i="36"/>
  <c r="K47" i="36"/>
  <c r="L47" i="36"/>
  <c r="M47" i="36"/>
  <c r="N47" i="36" s="1"/>
  <c r="O47" i="36"/>
  <c r="P47" i="36"/>
  <c r="Q47" i="36"/>
  <c r="S47" i="36"/>
  <c r="E48" i="36"/>
  <c r="F48" i="36"/>
  <c r="G48" i="36"/>
  <c r="H48" i="36"/>
  <c r="I48" i="36"/>
  <c r="J48" i="36"/>
  <c r="K48" i="36"/>
  <c r="L48" i="36"/>
  <c r="M48" i="36"/>
  <c r="N48" i="36" s="1"/>
  <c r="O48" i="36"/>
  <c r="P48" i="36"/>
  <c r="Q48" i="36"/>
  <c r="E49" i="36"/>
  <c r="F49" i="36"/>
  <c r="G49" i="36"/>
  <c r="H49" i="36"/>
  <c r="I49" i="36"/>
  <c r="J49" i="36"/>
  <c r="K49" i="36"/>
  <c r="L49" i="36"/>
  <c r="M49" i="36"/>
  <c r="N49" i="36" s="1"/>
  <c r="O49" i="36"/>
  <c r="P49" i="36"/>
  <c r="Q49" i="36"/>
  <c r="S49" i="36"/>
  <c r="E50" i="36"/>
  <c r="F50" i="36"/>
  <c r="G50" i="36"/>
  <c r="H50" i="36"/>
  <c r="J50" i="36"/>
  <c r="L50" i="36"/>
  <c r="M50" i="36"/>
  <c r="O50" i="36"/>
  <c r="P50" i="36"/>
  <c r="Q50" i="36"/>
  <c r="E54" i="36"/>
  <c r="F54" i="36"/>
  <c r="G54" i="36"/>
  <c r="H54" i="36"/>
  <c r="I54" i="36"/>
  <c r="J54" i="36"/>
  <c r="K54" i="36"/>
  <c r="L54" i="36"/>
  <c r="M54" i="36"/>
  <c r="N54" i="36" s="1"/>
  <c r="O54" i="36"/>
  <c r="P54" i="36"/>
  <c r="Q54" i="36"/>
  <c r="E58" i="36"/>
  <c r="F58" i="36"/>
  <c r="G58" i="36"/>
  <c r="H58" i="36"/>
  <c r="I58" i="36"/>
  <c r="J58" i="36"/>
  <c r="K58" i="36"/>
  <c r="L58" i="36"/>
  <c r="M58" i="36"/>
  <c r="N58" i="36" s="1"/>
  <c r="O58" i="36"/>
  <c r="P58" i="36"/>
  <c r="Q58" i="36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S8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S9" i="37"/>
  <c r="F10" i="37"/>
  <c r="G10" i="37"/>
  <c r="H10" i="37"/>
  <c r="I10" i="37"/>
  <c r="J10" i="37"/>
  <c r="K10" i="37"/>
  <c r="L10" i="37"/>
  <c r="N10" i="37"/>
  <c r="O10" i="37"/>
  <c r="P10" i="37"/>
  <c r="Q10" i="37"/>
  <c r="S10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S12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S13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S14" i="37"/>
  <c r="B15" i="37"/>
  <c r="D15" i="37"/>
  <c r="E16" i="37"/>
  <c r="F16" i="37"/>
  <c r="G16" i="37"/>
  <c r="H16" i="37"/>
  <c r="I16" i="37"/>
  <c r="J16" i="37"/>
  <c r="J19" i="37" s="1"/>
  <c r="J33" i="37" s="1"/>
  <c r="K16" i="37"/>
  <c r="L16" i="37"/>
  <c r="M16" i="37"/>
  <c r="N16" i="37"/>
  <c r="O16" i="37"/>
  <c r="P16" i="37"/>
  <c r="Q16" i="37"/>
  <c r="S16" i="37"/>
  <c r="B17" i="37"/>
  <c r="D17" i="37"/>
  <c r="N17" i="37"/>
  <c r="S17" i="37"/>
  <c r="E18" i="37"/>
  <c r="F18" i="37"/>
  <c r="N18" i="37"/>
  <c r="S18" i="37"/>
  <c r="G19" i="37"/>
  <c r="L19" i="37"/>
  <c r="L33" i="37" s="1"/>
  <c r="O19" i="37"/>
  <c r="B22" i="37"/>
  <c r="B31" i="37" s="1"/>
  <c r="D22" i="37"/>
  <c r="N22" i="37"/>
  <c r="S22" i="37"/>
  <c r="S22" i="36" s="1"/>
  <c r="B23" i="37"/>
  <c r="D23" i="37"/>
  <c r="N23" i="37"/>
  <c r="S23" i="37"/>
  <c r="B24" i="37"/>
  <c r="D24" i="37"/>
  <c r="N24" i="37"/>
  <c r="S24" i="37"/>
  <c r="S24" i="36" s="1"/>
  <c r="B25" i="37"/>
  <c r="D25" i="37"/>
  <c r="N25" i="37"/>
  <c r="S25" i="37"/>
  <c r="B26" i="37"/>
  <c r="D26" i="37"/>
  <c r="N26" i="37"/>
  <c r="S26" i="37"/>
  <c r="S26" i="36" s="1"/>
  <c r="B27" i="37"/>
  <c r="D27" i="37"/>
  <c r="N27" i="37"/>
  <c r="S27" i="37"/>
  <c r="B28" i="37"/>
  <c r="D28" i="37"/>
  <c r="N28" i="37"/>
  <c r="S28" i="37"/>
  <c r="S28" i="36" s="1"/>
  <c r="B29" i="37"/>
  <c r="D29" i="37"/>
  <c r="N29" i="37"/>
  <c r="S29" i="37"/>
  <c r="B30" i="37"/>
  <c r="D30" i="37"/>
  <c r="N30" i="37"/>
  <c r="S30" i="37"/>
  <c r="S30" i="36" s="1"/>
  <c r="E31" i="37"/>
  <c r="F31" i="37"/>
  <c r="G31" i="37"/>
  <c r="H31" i="37"/>
  <c r="I31" i="37"/>
  <c r="J31" i="37"/>
  <c r="K31" i="37"/>
  <c r="L31" i="37"/>
  <c r="M31" i="37"/>
  <c r="O31" i="37"/>
  <c r="P31" i="37"/>
  <c r="Q31" i="37"/>
  <c r="G33" i="37"/>
  <c r="G52" i="37" s="1"/>
  <c r="G56" i="37" s="1"/>
  <c r="G60" i="37" s="1"/>
  <c r="O33" i="37"/>
  <c r="B36" i="37"/>
  <c r="D36" i="37"/>
  <c r="B37" i="37"/>
  <c r="D37" i="37"/>
  <c r="B38" i="37"/>
  <c r="D38" i="37"/>
  <c r="D42" i="37" s="1"/>
  <c r="E38" i="37"/>
  <c r="F38" i="37"/>
  <c r="B39" i="37"/>
  <c r="D39" i="37"/>
  <c r="S39" i="37"/>
  <c r="D40" i="37"/>
  <c r="B40" i="37" s="1"/>
  <c r="B41" i="37"/>
  <c r="D41" i="37"/>
  <c r="E41" i="37"/>
  <c r="E41" i="36" s="1"/>
  <c r="C42" i="37"/>
  <c r="F42" i="37"/>
  <c r="G42" i="37"/>
  <c r="H42" i="37"/>
  <c r="I42" i="37"/>
  <c r="J42" i="37"/>
  <c r="J52" i="37" s="1"/>
  <c r="K42" i="37"/>
  <c r="L42" i="37"/>
  <c r="M42" i="37"/>
  <c r="O42" i="37"/>
  <c r="O52" i="37" s="1"/>
  <c r="O56" i="37" s="1"/>
  <c r="O60" i="37" s="1"/>
  <c r="P42" i="37"/>
  <c r="Q42" i="37"/>
  <c r="B45" i="37"/>
  <c r="D45" i="37"/>
  <c r="B46" i="37"/>
  <c r="D46" i="37"/>
  <c r="D47" i="37"/>
  <c r="B47" i="37" s="1"/>
  <c r="D48" i="37"/>
  <c r="S48" i="37"/>
  <c r="D49" i="37"/>
  <c r="B49" i="37" s="1"/>
  <c r="D50" i="37"/>
  <c r="E50" i="37"/>
  <c r="F50" i="37"/>
  <c r="G50" i="37"/>
  <c r="H50" i="37"/>
  <c r="I50" i="37"/>
  <c r="J50" i="37"/>
  <c r="K50" i="37"/>
  <c r="L50" i="37"/>
  <c r="M50" i="37"/>
  <c r="O50" i="37"/>
  <c r="P50" i="37"/>
  <c r="Q50" i="37"/>
  <c r="S50" i="37"/>
  <c r="B54" i="37"/>
  <c r="D54" i="37"/>
  <c r="S54" i="37"/>
  <c r="J56" i="37"/>
  <c r="J60" i="37" s="1"/>
  <c r="D58" i="37"/>
  <c r="B58" i="37" s="1"/>
  <c r="S58" i="37"/>
  <c r="S58" i="36" s="1"/>
  <c r="M8" i="4"/>
  <c r="R8" i="4"/>
  <c r="R10" i="4" s="1"/>
  <c r="R12" i="4"/>
  <c r="R19" i="4" s="1"/>
  <c r="R13" i="4"/>
  <c r="F14" i="4"/>
  <c r="E15" i="4"/>
  <c r="F15" i="4"/>
  <c r="G15" i="4"/>
  <c r="H15" i="4"/>
  <c r="I15" i="4"/>
  <c r="J15" i="4"/>
  <c r="K15" i="4"/>
  <c r="L15" i="4"/>
  <c r="M15" i="4"/>
  <c r="N15" i="4" s="1"/>
  <c r="O15" i="4"/>
  <c r="P15" i="4"/>
  <c r="R16" i="4"/>
  <c r="E17" i="4"/>
  <c r="F17" i="4"/>
  <c r="G17" i="4"/>
  <c r="H17" i="4"/>
  <c r="I17" i="4"/>
  <c r="J17" i="4"/>
  <c r="K17" i="4"/>
  <c r="L17" i="4"/>
  <c r="M17" i="4"/>
  <c r="N17" i="4"/>
  <c r="O17" i="4"/>
  <c r="P17" i="4"/>
  <c r="D17" i="4" s="1"/>
  <c r="B17" i="4" s="1"/>
  <c r="R17" i="4"/>
  <c r="G18" i="4"/>
  <c r="H18" i="4"/>
  <c r="I18" i="4"/>
  <c r="J18" i="4"/>
  <c r="K18" i="4"/>
  <c r="L18" i="4"/>
  <c r="M18" i="4"/>
  <c r="O18" i="4"/>
  <c r="P18" i="4"/>
  <c r="R18" i="4"/>
  <c r="E22" i="4"/>
  <c r="E31" i="4" s="1"/>
  <c r="F22" i="4"/>
  <c r="G22" i="4"/>
  <c r="H22" i="4"/>
  <c r="I22" i="4"/>
  <c r="J22" i="4"/>
  <c r="K22" i="4"/>
  <c r="L22" i="4"/>
  <c r="M22" i="4"/>
  <c r="O22" i="4"/>
  <c r="P22" i="4"/>
  <c r="R22" i="4"/>
  <c r="E23" i="4"/>
  <c r="F23" i="4"/>
  <c r="G23" i="4"/>
  <c r="H23" i="4"/>
  <c r="H31" i="4" s="1"/>
  <c r="I23" i="4"/>
  <c r="J23" i="4"/>
  <c r="K23" i="4"/>
  <c r="L23" i="4"/>
  <c r="M23" i="4"/>
  <c r="N23" i="4"/>
  <c r="O23" i="4"/>
  <c r="P23" i="4"/>
  <c r="R23" i="4"/>
  <c r="E24" i="4"/>
  <c r="F24" i="4"/>
  <c r="G24" i="4"/>
  <c r="H24" i="4"/>
  <c r="I24" i="4"/>
  <c r="J24" i="4"/>
  <c r="K24" i="4"/>
  <c r="L24" i="4"/>
  <c r="M24" i="4"/>
  <c r="N24" i="4"/>
  <c r="O24" i="4"/>
  <c r="D24" i="4" s="1"/>
  <c r="B24" i="4" s="1"/>
  <c r="P24" i="4"/>
  <c r="R24" i="4"/>
  <c r="E25" i="4"/>
  <c r="F25" i="4"/>
  <c r="G25" i="4"/>
  <c r="H25" i="4"/>
  <c r="I25" i="4"/>
  <c r="J25" i="4"/>
  <c r="K25" i="4"/>
  <c r="L25" i="4"/>
  <c r="M25" i="4"/>
  <c r="N25" i="4" s="1"/>
  <c r="O25" i="4"/>
  <c r="P25" i="4"/>
  <c r="R25" i="4"/>
  <c r="E26" i="4"/>
  <c r="F26" i="4"/>
  <c r="G26" i="4"/>
  <c r="H26" i="4"/>
  <c r="I26" i="4"/>
  <c r="J26" i="4"/>
  <c r="K26" i="4"/>
  <c r="L26" i="4"/>
  <c r="M26" i="4"/>
  <c r="N26" i="4" s="1"/>
  <c r="O26" i="4"/>
  <c r="P26" i="4"/>
  <c r="R26" i="4"/>
  <c r="E27" i="4"/>
  <c r="F27" i="4"/>
  <c r="D27" i="4" s="1"/>
  <c r="B27" i="4" s="1"/>
  <c r="G27" i="4"/>
  <c r="H27" i="4"/>
  <c r="I27" i="4"/>
  <c r="J27" i="4"/>
  <c r="K27" i="4"/>
  <c r="L27" i="4"/>
  <c r="M27" i="4"/>
  <c r="N27" i="4"/>
  <c r="O27" i="4"/>
  <c r="P27" i="4"/>
  <c r="R27" i="4"/>
  <c r="E28" i="4"/>
  <c r="F28" i="4"/>
  <c r="G28" i="4"/>
  <c r="H28" i="4"/>
  <c r="I28" i="4"/>
  <c r="J28" i="4"/>
  <c r="K28" i="4"/>
  <c r="L28" i="4"/>
  <c r="M28" i="4"/>
  <c r="N28" i="4" s="1"/>
  <c r="O28" i="4"/>
  <c r="P28" i="4"/>
  <c r="D28" i="4" s="1"/>
  <c r="B28" i="4" s="1"/>
  <c r="R28" i="4"/>
  <c r="E29" i="4"/>
  <c r="F29" i="4"/>
  <c r="D29" i="4" s="1"/>
  <c r="B29" i="4" s="1"/>
  <c r="G29" i="4"/>
  <c r="H29" i="4"/>
  <c r="I29" i="4"/>
  <c r="J29" i="4"/>
  <c r="K29" i="4"/>
  <c r="L29" i="4"/>
  <c r="M29" i="4"/>
  <c r="N29" i="4"/>
  <c r="O29" i="4"/>
  <c r="P29" i="4"/>
  <c r="R29" i="4"/>
  <c r="E30" i="4"/>
  <c r="F30" i="4"/>
  <c r="G30" i="4"/>
  <c r="H30" i="4"/>
  <c r="I30" i="4"/>
  <c r="J30" i="4"/>
  <c r="D30" i="4" s="1"/>
  <c r="B30" i="4" s="1"/>
  <c r="K30" i="4"/>
  <c r="L30" i="4"/>
  <c r="M30" i="4"/>
  <c r="N30" i="4" s="1"/>
  <c r="O30" i="4"/>
  <c r="P30" i="4"/>
  <c r="R30" i="4"/>
  <c r="J31" i="4"/>
  <c r="L31" i="4"/>
  <c r="E36" i="4"/>
  <c r="F36" i="4"/>
  <c r="G36" i="4"/>
  <c r="H36" i="4"/>
  <c r="I36" i="4"/>
  <c r="J36" i="4"/>
  <c r="K36" i="4"/>
  <c r="L36" i="4"/>
  <c r="M36" i="4"/>
  <c r="O36" i="4"/>
  <c r="O43" i="4" s="1"/>
  <c r="P36" i="4"/>
  <c r="E37" i="4"/>
  <c r="F37" i="4"/>
  <c r="G37" i="4"/>
  <c r="H37" i="4"/>
  <c r="I37" i="4"/>
  <c r="J37" i="4"/>
  <c r="J43" i="4" s="1"/>
  <c r="K37" i="4"/>
  <c r="L37" i="4"/>
  <c r="M37" i="4"/>
  <c r="O37" i="4"/>
  <c r="P37" i="4"/>
  <c r="G38" i="4"/>
  <c r="H38" i="4"/>
  <c r="I38" i="4"/>
  <c r="J38" i="4"/>
  <c r="K38" i="4"/>
  <c r="L38" i="4"/>
  <c r="M38" i="4"/>
  <c r="N38" i="4"/>
  <c r="O38" i="4"/>
  <c r="P38" i="4"/>
  <c r="E39" i="4"/>
  <c r="D39" i="4" s="1"/>
  <c r="B39" i="4" s="1"/>
  <c r="F39" i="4"/>
  <c r="G39" i="4"/>
  <c r="H39" i="4"/>
  <c r="I39" i="4"/>
  <c r="J39" i="4"/>
  <c r="K39" i="4"/>
  <c r="L39" i="4"/>
  <c r="M39" i="4"/>
  <c r="N39" i="4"/>
  <c r="O39" i="4"/>
  <c r="P39" i="4"/>
  <c r="R39" i="4"/>
  <c r="B40" i="4"/>
  <c r="E40" i="4"/>
  <c r="F40" i="4"/>
  <c r="G40" i="4"/>
  <c r="H40" i="4"/>
  <c r="I40" i="4"/>
  <c r="J40" i="4"/>
  <c r="K40" i="4"/>
  <c r="L40" i="4"/>
  <c r="M40" i="4"/>
  <c r="N40" i="4" s="1"/>
  <c r="O40" i="4"/>
  <c r="P40" i="4"/>
  <c r="P43" i="4" s="1"/>
  <c r="R40" i="4"/>
  <c r="E41" i="4"/>
  <c r="F41" i="4"/>
  <c r="G41" i="4"/>
  <c r="H41" i="4"/>
  <c r="I41" i="4"/>
  <c r="J41" i="4"/>
  <c r="K41" i="4"/>
  <c r="L41" i="4"/>
  <c r="M41" i="4"/>
  <c r="N41" i="4" s="1"/>
  <c r="O41" i="4"/>
  <c r="P41" i="4"/>
  <c r="B42" i="4"/>
  <c r="E42" i="4"/>
  <c r="F42" i="4"/>
  <c r="G42" i="4"/>
  <c r="H42" i="4"/>
  <c r="I42" i="4"/>
  <c r="J42" i="4"/>
  <c r="K42" i="4"/>
  <c r="L42" i="4"/>
  <c r="M42" i="4"/>
  <c r="N42" i="4" s="1"/>
  <c r="O42" i="4"/>
  <c r="D42" i="4" s="1"/>
  <c r="P42" i="4"/>
  <c r="C43" i="4"/>
  <c r="H43" i="4"/>
  <c r="R43" i="4"/>
  <c r="E46" i="4"/>
  <c r="F46" i="4"/>
  <c r="G46" i="4"/>
  <c r="H46" i="4"/>
  <c r="I46" i="4"/>
  <c r="I51" i="4" s="1"/>
  <c r="J46" i="4"/>
  <c r="K46" i="4"/>
  <c r="L46" i="4"/>
  <c r="M46" i="4"/>
  <c r="O46" i="4"/>
  <c r="P46" i="4"/>
  <c r="E47" i="4"/>
  <c r="F47" i="4"/>
  <c r="G47" i="4"/>
  <c r="H47" i="4"/>
  <c r="I47" i="4"/>
  <c r="J47" i="4"/>
  <c r="K47" i="4"/>
  <c r="L47" i="4"/>
  <c r="L51" i="4" s="1"/>
  <c r="M47" i="4"/>
  <c r="O47" i="4"/>
  <c r="P47" i="4"/>
  <c r="E48" i="4"/>
  <c r="F48" i="4"/>
  <c r="G48" i="4"/>
  <c r="H48" i="4"/>
  <c r="I48" i="4"/>
  <c r="J48" i="4"/>
  <c r="K48" i="4"/>
  <c r="K51" i="4" s="1"/>
  <c r="L48" i="4"/>
  <c r="M48" i="4"/>
  <c r="O48" i="4"/>
  <c r="P48" i="4"/>
  <c r="E49" i="4"/>
  <c r="F49" i="4"/>
  <c r="F51" i="4" s="1"/>
  <c r="G49" i="4"/>
  <c r="H49" i="4"/>
  <c r="H51" i="4" s="1"/>
  <c r="I49" i="4"/>
  <c r="J49" i="4"/>
  <c r="K49" i="4"/>
  <c r="L49" i="4"/>
  <c r="M49" i="4"/>
  <c r="O49" i="4"/>
  <c r="P49" i="4"/>
  <c r="E50" i="4"/>
  <c r="F50" i="4"/>
  <c r="G50" i="4"/>
  <c r="H50" i="4"/>
  <c r="I50" i="4"/>
  <c r="J50" i="4"/>
  <c r="K50" i="4"/>
  <c r="L50" i="4"/>
  <c r="M50" i="4"/>
  <c r="O50" i="4"/>
  <c r="P50" i="4"/>
  <c r="N51" i="4"/>
  <c r="P51" i="4"/>
  <c r="R51" i="4"/>
  <c r="P55" i="4"/>
  <c r="D55" i="4" s="1"/>
  <c r="R55" i="4"/>
  <c r="E59" i="4"/>
  <c r="F59" i="4"/>
  <c r="G59" i="4"/>
  <c r="H59" i="4"/>
  <c r="I59" i="4"/>
  <c r="J59" i="4"/>
  <c r="K59" i="4"/>
  <c r="L59" i="4"/>
  <c r="M59" i="4"/>
  <c r="O59" i="4"/>
  <c r="P59" i="4"/>
  <c r="E8" i="3"/>
  <c r="E8" i="4" s="1"/>
  <c r="F8" i="3"/>
  <c r="G8" i="3"/>
  <c r="H8" i="3"/>
  <c r="I8" i="3"/>
  <c r="I8" i="4" s="1"/>
  <c r="J8" i="3"/>
  <c r="K8" i="3"/>
  <c r="K8" i="4" s="1"/>
  <c r="L8" i="3"/>
  <c r="L10" i="3" s="1"/>
  <c r="M8" i="3"/>
  <c r="M10" i="3" s="1"/>
  <c r="O8" i="3"/>
  <c r="P8" i="3"/>
  <c r="D8" i="3" s="1"/>
  <c r="R8" i="3"/>
  <c r="E9" i="3"/>
  <c r="E9" i="4" s="1"/>
  <c r="F9" i="3"/>
  <c r="G9" i="3"/>
  <c r="H9" i="3"/>
  <c r="I9" i="3"/>
  <c r="I10" i="3" s="1"/>
  <c r="I19" i="3" s="1"/>
  <c r="J9" i="3"/>
  <c r="K9" i="3"/>
  <c r="K9" i="4" s="1"/>
  <c r="L9" i="3"/>
  <c r="M9" i="3"/>
  <c r="M9" i="4" s="1"/>
  <c r="N9" i="3"/>
  <c r="O9" i="3"/>
  <c r="P9" i="3"/>
  <c r="E10" i="3"/>
  <c r="H10" i="3"/>
  <c r="H19" i="3" s="1"/>
  <c r="H33" i="3" s="1"/>
  <c r="H53" i="3" s="1"/>
  <c r="H57" i="3" s="1"/>
  <c r="H61" i="3" s="1"/>
  <c r="K10" i="3"/>
  <c r="K19" i="3" s="1"/>
  <c r="K33" i="3" s="1"/>
  <c r="K53" i="3" s="1"/>
  <c r="K57" i="3" s="1"/>
  <c r="K61" i="3" s="1"/>
  <c r="R10" i="3"/>
  <c r="R19" i="3" s="1"/>
  <c r="E12" i="3"/>
  <c r="E12" i="4" s="1"/>
  <c r="F12" i="3"/>
  <c r="G12" i="3"/>
  <c r="H12" i="3"/>
  <c r="H12" i="4" s="1"/>
  <c r="I12" i="3"/>
  <c r="J12" i="3"/>
  <c r="J12" i="4" s="1"/>
  <c r="K12" i="3"/>
  <c r="L12" i="3"/>
  <c r="L12" i="4" s="1"/>
  <c r="M12" i="3"/>
  <c r="M12" i="4" s="1"/>
  <c r="N12" i="3"/>
  <c r="O12" i="3"/>
  <c r="P12" i="3"/>
  <c r="P12" i="4" s="1"/>
  <c r="R12" i="3"/>
  <c r="E13" i="3"/>
  <c r="F13" i="3"/>
  <c r="G13" i="3"/>
  <c r="G13" i="4" s="1"/>
  <c r="H13" i="3"/>
  <c r="I13" i="3"/>
  <c r="J13" i="3"/>
  <c r="K13" i="3"/>
  <c r="L13" i="3"/>
  <c r="M13" i="3"/>
  <c r="O13" i="3"/>
  <c r="P13" i="3"/>
  <c r="R13" i="3"/>
  <c r="E14" i="3"/>
  <c r="F14" i="3"/>
  <c r="G14" i="3"/>
  <c r="G14" i="4" s="1"/>
  <c r="H14" i="3"/>
  <c r="H14" i="4" s="1"/>
  <c r="I14" i="3"/>
  <c r="J14" i="3"/>
  <c r="J14" i="4" s="1"/>
  <c r="K14" i="3"/>
  <c r="L14" i="3"/>
  <c r="M14" i="3"/>
  <c r="N14" i="3"/>
  <c r="D15" i="3"/>
  <c r="B15" i="3" s="1"/>
  <c r="N15" i="3"/>
  <c r="E16" i="3"/>
  <c r="F16" i="3"/>
  <c r="G16" i="3"/>
  <c r="G16" i="4" s="1"/>
  <c r="H16" i="3"/>
  <c r="I16" i="3"/>
  <c r="I16" i="4" s="1"/>
  <c r="J16" i="3"/>
  <c r="K16" i="3"/>
  <c r="L16" i="3"/>
  <c r="M16" i="3"/>
  <c r="O16" i="3"/>
  <c r="O16" i="4" s="1"/>
  <c r="P16" i="3"/>
  <c r="P16" i="4" s="1"/>
  <c r="R16" i="3"/>
  <c r="D17" i="3"/>
  <c r="N17" i="3"/>
  <c r="R17" i="3"/>
  <c r="B17" i="3" s="1"/>
  <c r="D18" i="3"/>
  <c r="B18" i="3" s="1"/>
  <c r="E18" i="3"/>
  <c r="E18" i="4" s="1"/>
  <c r="F18" i="3"/>
  <c r="N18" i="3"/>
  <c r="R18" i="3"/>
  <c r="D22" i="3"/>
  <c r="R22" i="3"/>
  <c r="D23" i="3"/>
  <c r="N23" i="3"/>
  <c r="R23" i="3"/>
  <c r="D24" i="3"/>
  <c r="N24" i="3"/>
  <c r="R24" i="3"/>
  <c r="B24" i="3" s="1"/>
  <c r="D25" i="3"/>
  <c r="N25" i="3"/>
  <c r="R25" i="3"/>
  <c r="R31" i="3" s="1"/>
  <c r="D26" i="3"/>
  <c r="N26" i="3"/>
  <c r="R26" i="3"/>
  <c r="B26" i="3" s="1"/>
  <c r="D27" i="3"/>
  <c r="B27" i="3" s="1"/>
  <c r="N27" i="3"/>
  <c r="R27" i="3"/>
  <c r="B28" i="3"/>
  <c r="D28" i="3"/>
  <c r="N28" i="3"/>
  <c r="R28" i="3"/>
  <c r="D29" i="3"/>
  <c r="N29" i="3"/>
  <c r="R29" i="3"/>
  <c r="D30" i="3"/>
  <c r="N30" i="3"/>
  <c r="R30" i="3"/>
  <c r="B30" i="3" s="1"/>
  <c r="E31" i="3"/>
  <c r="F31" i="3"/>
  <c r="G31" i="3"/>
  <c r="H31" i="3"/>
  <c r="I31" i="3"/>
  <c r="J31" i="3"/>
  <c r="K31" i="3"/>
  <c r="L31" i="3"/>
  <c r="M31" i="3"/>
  <c r="N31" i="3"/>
  <c r="O31" i="3"/>
  <c r="P31" i="3"/>
  <c r="B36" i="3"/>
  <c r="D36" i="3"/>
  <c r="D37" i="3"/>
  <c r="B37" i="3" s="1"/>
  <c r="E38" i="3"/>
  <c r="F38" i="3"/>
  <c r="B39" i="3"/>
  <c r="D39" i="3"/>
  <c r="R39" i="3"/>
  <c r="B40" i="3"/>
  <c r="R40" i="3"/>
  <c r="D41" i="3"/>
  <c r="B41" i="3" s="1"/>
  <c r="D42" i="3"/>
  <c r="B42" i="3" s="1"/>
  <c r="C43" i="3"/>
  <c r="F43" i="3"/>
  <c r="G43" i="3"/>
  <c r="H43" i="3"/>
  <c r="I43" i="3"/>
  <c r="J43" i="3"/>
  <c r="K43" i="3"/>
  <c r="L43" i="3"/>
  <c r="M43" i="3"/>
  <c r="O43" i="3"/>
  <c r="P43" i="3"/>
  <c r="R43" i="3"/>
  <c r="B46" i="3"/>
  <c r="D46" i="3"/>
  <c r="D47" i="3"/>
  <c r="B47" i="3" s="1"/>
  <c r="D48" i="3"/>
  <c r="B48" i="3" s="1"/>
  <c r="B49" i="3"/>
  <c r="D49" i="3"/>
  <c r="D50" i="3"/>
  <c r="B50" i="3" s="1"/>
  <c r="D51" i="3"/>
  <c r="E51" i="3"/>
  <c r="F51" i="3"/>
  <c r="G51" i="3"/>
  <c r="H51" i="3"/>
  <c r="I51" i="3"/>
  <c r="J51" i="3"/>
  <c r="K51" i="3"/>
  <c r="L51" i="3"/>
  <c r="M51" i="3"/>
  <c r="O51" i="3"/>
  <c r="P51" i="3"/>
  <c r="R51" i="3"/>
  <c r="B55" i="3"/>
  <c r="D55" i="3"/>
  <c r="R55" i="3"/>
  <c r="B59" i="3"/>
  <c r="D59" i="3"/>
  <c r="E8" i="1"/>
  <c r="E10" i="1" s="1"/>
  <c r="F8" i="1"/>
  <c r="F10" i="1" s="1"/>
  <c r="G8" i="1"/>
  <c r="H8" i="1"/>
  <c r="H10" i="1" s="1"/>
  <c r="I8" i="1"/>
  <c r="J8" i="1"/>
  <c r="K8" i="1"/>
  <c r="L8" i="1"/>
  <c r="M8" i="1"/>
  <c r="M10" i="1" s="1"/>
  <c r="M19" i="1" s="1"/>
  <c r="M33" i="1" s="1"/>
  <c r="M53" i="1" s="1"/>
  <c r="N8" i="1"/>
  <c r="O8" i="1"/>
  <c r="O10" i="1" s="1"/>
  <c r="P8" i="1"/>
  <c r="R8" i="1"/>
  <c r="E9" i="1"/>
  <c r="F9" i="1"/>
  <c r="G9" i="1"/>
  <c r="H9" i="1"/>
  <c r="H9" i="4" s="1"/>
  <c r="I9" i="1"/>
  <c r="I10" i="1" s="1"/>
  <c r="I19" i="1" s="1"/>
  <c r="I33" i="1" s="1"/>
  <c r="J9" i="1"/>
  <c r="J10" i="1" s="1"/>
  <c r="J19" i="1" s="1"/>
  <c r="J33" i="1" s="1"/>
  <c r="J53" i="1" s="1"/>
  <c r="J57" i="1" s="1"/>
  <c r="J61" i="1" s="1"/>
  <c r="K9" i="1"/>
  <c r="L9" i="1"/>
  <c r="M9" i="1"/>
  <c r="N9" i="1"/>
  <c r="O9" i="1"/>
  <c r="P9" i="1"/>
  <c r="P9" i="4" s="1"/>
  <c r="G10" i="1"/>
  <c r="G19" i="1" s="1"/>
  <c r="G33" i="1" s="1"/>
  <c r="K10" i="1"/>
  <c r="N10" i="1"/>
  <c r="N19" i="1" s="1"/>
  <c r="P10" i="1"/>
  <c r="P19" i="1" s="1"/>
  <c r="P33" i="1" s="1"/>
  <c r="P53" i="1" s="1"/>
  <c r="P57" i="1" s="1"/>
  <c r="P64" i="1" s="1"/>
  <c r="R10" i="1"/>
  <c r="E12" i="1"/>
  <c r="F12" i="1"/>
  <c r="G12" i="1"/>
  <c r="H12" i="1"/>
  <c r="I12" i="1"/>
  <c r="J12" i="1"/>
  <c r="K12" i="1"/>
  <c r="K12" i="4" s="1"/>
  <c r="L12" i="1"/>
  <c r="M12" i="1"/>
  <c r="N12" i="1"/>
  <c r="O12" i="1"/>
  <c r="P12" i="1"/>
  <c r="R12" i="1"/>
  <c r="R19" i="1" s="1"/>
  <c r="R33" i="1" s="1"/>
  <c r="E13" i="1"/>
  <c r="F13" i="1"/>
  <c r="G13" i="1"/>
  <c r="H13" i="1"/>
  <c r="H13" i="4" s="1"/>
  <c r="I13" i="1"/>
  <c r="J13" i="1"/>
  <c r="K13" i="1"/>
  <c r="L13" i="1"/>
  <c r="M13" i="1"/>
  <c r="N13" i="1"/>
  <c r="O13" i="1"/>
  <c r="P13" i="1"/>
  <c r="D13" i="1" s="1"/>
  <c r="B13" i="1" s="1"/>
  <c r="R13" i="1"/>
  <c r="E14" i="1"/>
  <c r="F14" i="1"/>
  <c r="G14" i="1"/>
  <c r="H14" i="1"/>
  <c r="I14" i="1"/>
  <c r="J14" i="1"/>
  <c r="K14" i="1"/>
  <c r="L14" i="1"/>
  <c r="M14" i="1"/>
  <c r="M14" i="4" s="1"/>
  <c r="N14" i="1"/>
  <c r="O14" i="1"/>
  <c r="O14" i="4" s="1"/>
  <c r="P14" i="1"/>
  <c r="P14" i="4" s="1"/>
  <c r="B15" i="1"/>
  <c r="D15" i="1"/>
  <c r="N15" i="1"/>
  <c r="E16" i="1"/>
  <c r="F16" i="1"/>
  <c r="F16" i="4" s="1"/>
  <c r="G16" i="1"/>
  <c r="H16" i="1"/>
  <c r="I16" i="1"/>
  <c r="J16" i="1"/>
  <c r="K16" i="1"/>
  <c r="L16" i="1"/>
  <c r="M16" i="1"/>
  <c r="N16" i="1"/>
  <c r="O16" i="1"/>
  <c r="P16" i="1"/>
  <c r="D16" i="1" s="1"/>
  <c r="B16" i="1" s="1"/>
  <c r="R16" i="1"/>
  <c r="B17" i="1"/>
  <c r="D17" i="1"/>
  <c r="N17" i="1"/>
  <c r="E18" i="1"/>
  <c r="F18" i="1"/>
  <c r="D18" i="1" s="1"/>
  <c r="B18" i="1" s="1"/>
  <c r="N18" i="1"/>
  <c r="E19" i="1"/>
  <c r="D22" i="1"/>
  <c r="R22" i="1"/>
  <c r="B23" i="1"/>
  <c r="D23" i="1"/>
  <c r="N23" i="1"/>
  <c r="R23" i="1"/>
  <c r="D24" i="1"/>
  <c r="B24" i="1" s="1"/>
  <c r="N24" i="1"/>
  <c r="R24" i="1"/>
  <c r="B25" i="1"/>
  <c r="D25" i="1"/>
  <c r="N25" i="1"/>
  <c r="R25" i="1"/>
  <c r="D26" i="1"/>
  <c r="B26" i="1" s="1"/>
  <c r="N26" i="1"/>
  <c r="R26" i="1"/>
  <c r="B27" i="1"/>
  <c r="D27" i="1"/>
  <c r="N27" i="1"/>
  <c r="R27" i="1"/>
  <c r="D28" i="1"/>
  <c r="B28" i="1" s="1"/>
  <c r="N28" i="1"/>
  <c r="R28" i="1"/>
  <c r="B29" i="1"/>
  <c r="D29" i="1"/>
  <c r="N29" i="1"/>
  <c r="R29" i="1"/>
  <c r="D30" i="1"/>
  <c r="B30" i="1" s="1"/>
  <c r="N30" i="1"/>
  <c r="R30" i="1"/>
  <c r="E31" i="1"/>
  <c r="F31" i="1"/>
  <c r="G31" i="1"/>
  <c r="H31" i="1"/>
  <c r="I31" i="1"/>
  <c r="J31" i="1"/>
  <c r="K31" i="1"/>
  <c r="L31" i="1"/>
  <c r="M31" i="1"/>
  <c r="O31" i="1"/>
  <c r="P31" i="1"/>
  <c r="R31" i="1"/>
  <c r="E33" i="1"/>
  <c r="B36" i="1"/>
  <c r="D36" i="1"/>
  <c r="D37" i="1"/>
  <c r="E38" i="1"/>
  <c r="F38" i="1"/>
  <c r="F43" i="1" s="1"/>
  <c r="B39" i="1"/>
  <c r="D39" i="1"/>
  <c r="R39" i="1"/>
  <c r="R40" i="1"/>
  <c r="B40" i="1" s="1"/>
  <c r="D41" i="1"/>
  <c r="B41" i="1" s="1"/>
  <c r="B42" i="1"/>
  <c r="D42" i="1"/>
  <c r="C43" i="1"/>
  <c r="G43" i="1"/>
  <c r="H43" i="1"/>
  <c r="I43" i="1"/>
  <c r="J43" i="1"/>
  <c r="K43" i="1"/>
  <c r="L43" i="1"/>
  <c r="M43" i="1"/>
  <c r="O43" i="1"/>
  <c r="P43" i="1"/>
  <c r="B46" i="1"/>
  <c r="D46" i="1"/>
  <c r="B47" i="1"/>
  <c r="D47" i="1"/>
  <c r="D51" i="1" s="1"/>
  <c r="B48" i="1"/>
  <c r="D48" i="1"/>
  <c r="B49" i="1"/>
  <c r="D49" i="1"/>
  <c r="B50" i="1"/>
  <c r="D50" i="1"/>
  <c r="R50" i="1"/>
  <c r="E51" i="1"/>
  <c r="F51" i="1"/>
  <c r="G51" i="1"/>
  <c r="H51" i="1"/>
  <c r="I51" i="1"/>
  <c r="J51" i="1"/>
  <c r="K51" i="1"/>
  <c r="L51" i="1"/>
  <c r="M51" i="1"/>
  <c r="O51" i="1"/>
  <c r="P51" i="1"/>
  <c r="R51" i="1"/>
  <c r="I53" i="1"/>
  <c r="I57" i="1" s="1"/>
  <c r="I61" i="1" s="1"/>
  <c r="B59" i="1"/>
  <c r="D59" i="1"/>
  <c r="P61" i="1"/>
  <c r="K9" i="34"/>
  <c r="P12" i="34"/>
  <c r="I13" i="34"/>
  <c r="E15" i="34"/>
  <c r="F15" i="34"/>
  <c r="G15" i="34"/>
  <c r="H15" i="34"/>
  <c r="I15" i="34"/>
  <c r="J15" i="34"/>
  <c r="K15" i="34"/>
  <c r="L15" i="34"/>
  <c r="N15" i="34" s="1"/>
  <c r="M15" i="34"/>
  <c r="O15" i="34"/>
  <c r="P15" i="34"/>
  <c r="Q15" i="34"/>
  <c r="S15" i="34"/>
  <c r="M16" i="34"/>
  <c r="E17" i="34"/>
  <c r="F17" i="34"/>
  <c r="D17" i="34" s="1"/>
  <c r="G17" i="34"/>
  <c r="H17" i="34"/>
  <c r="I17" i="34"/>
  <c r="J17" i="34"/>
  <c r="K17" i="34"/>
  <c r="L17" i="34"/>
  <c r="M17" i="34"/>
  <c r="N17" i="34"/>
  <c r="O17" i="34"/>
  <c r="P17" i="34"/>
  <c r="Q17" i="34"/>
  <c r="G18" i="34"/>
  <c r="H18" i="34"/>
  <c r="I18" i="34"/>
  <c r="J18" i="34"/>
  <c r="K18" i="34"/>
  <c r="L18" i="34"/>
  <c r="M18" i="34"/>
  <c r="N18" i="34"/>
  <c r="O18" i="34"/>
  <c r="P18" i="34"/>
  <c r="Q18" i="34"/>
  <c r="E22" i="34"/>
  <c r="F22" i="34"/>
  <c r="G22" i="34"/>
  <c r="H22" i="34"/>
  <c r="I22" i="34"/>
  <c r="J22" i="34"/>
  <c r="J31" i="34" s="1"/>
  <c r="K22" i="34"/>
  <c r="L22" i="34"/>
  <c r="M22" i="34"/>
  <c r="M31" i="34" s="1"/>
  <c r="N22" i="34"/>
  <c r="O22" i="34"/>
  <c r="P22" i="34"/>
  <c r="D22" i="34" s="1"/>
  <c r="Q22" i="34"/>
  <c r="G23" i="34"/>
  <c r="H23" i="34"/>
  <c r="I23" i="34"/>
  <c r="J23" i="34"/>
  <c r="K23" i="34"/>
  <c r="L23" i="34"/>
  <c r="M23" i="34"/>
  <c r="N23" i="34" s="1"/>
  <c r="N31" i="34" s="1"/>
  <c r="P23" i="34"/>
  <c r="Q23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D25" i="34" s="1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D26" i="34" s="1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D29" i="34" s="1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D30" i="34" s="1"/>
  <c r="G31" i="34"/>
  <c r="L31" i="34"/>
  <c r="P31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S36" i="34"/>
  <c r="E37" i="34"/>
  <c r="F37" i="34"/>
  <c r="G37" i="34"/>
  <c r="H37" i="34"/>
  <c r="I37" i="34"/>
  <c r="J37" i="34"/>
  <c r="D37" i="34" s="1"/>
  <c r="B37" i="34" s="1"/>
  <c r="K37" i="34"/>
  <c r="L37" i="34"/>
  <c r="N37" i="34" s="1"/>
  <c r="M37" i="34"/>
  <c r="O37" i="34"/>
  <c r="P37" i="34"/>
  <c r="Q37" i="34"/>
  <c r="S37" i="34"/>
  <c r="G38" i="34"/>
  <c r="H38" i="34"/>
  <c r="I38" i="34"/>
  <c r="J38" i="34"/>
  <c r="K38" i="34"/>
  <c r="L38" i="34"/>
  <c r="N38" i="34" s="1"/>
  <c r="M38" i="34"/>
  <c r="O38" i="34"/>
  <c r="P38" i="34"/>
  <c r="Q38" i="34"/>
  <c r="S38" i="34"/>
  <c r="E39" i="34"/>
  <c r="F39" i="34"/>
  <c r="G39" i="34"/>
  <c r="H39" i="34"/>
  <c r="I39" i="34"/>
  <c r="J39" i="34"/>
  <c r="K39" i="34"/>
  <c r="L39" i="34"/>
  <c r="D39" i="34" s="1"/>
  <c r="M39" i="34"/>
  <c r="O39" i="34"/>
  <c r="P39" i="34"/>
  <c r="Q39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D40" i="34" s="1"/>
  <c r="B40" i="34" s="1"/>
  <c r="S40" i="34"/>
  <c r="E41" i="34"/>
  <c r="F41" i="34"/>
  <c r="G41" i="34"/>
  <c r="G42" i="34" s="1"/>
  <c r="H41" i="34"/>
  <c r="I41" i="34"/>
  <c r="J41" i="34"/>
  <c r="K41" i="34"/>
  <c r="L41" i="34"/>
  <c r="M41" i="34"/>
  <c r="N41" i="34"/>
  <c r="O41" i="34"/>
  <c r="O42" i="34" s="1"/>
  <c r="P41" i="34"/>
  <c r="Q41" i="34"/>
  <c r="D41" i="34" s="1"/>
  <c r="B41" i="34" s="1"/>
  <c r="S41" i="34"/>
  <c r="C42" i="34"/>
  <c r="H42" i="34"/>
  <c r="K42" i="34"/>
  <c r="M42" i="34"/>
  <c r="P42" i="34"/>
  <c r="E45" i="34"/>
  <c r="F45" i="34"/>
  <c r="G45" i="34"/>
  <c r="H45" i="34"/>
  <c r="I45" i="34"/>
  <c r="J45" i="34"/>
  <c r="K45" i="34"/>
  <c r="L45" i="34"/>
  <c r="M45" i="34"/>
  <c r="N45" i="34" s="1"/>
  <c r="O45" i="34"/>
  <c r="P45" i="34"/>
  <c r="P50" i="34" s="1"/>
  <c r="Q45" i="34"/>
  <c r="S45" i="34"/>
  <c r="E46" i="34"/>
  <c r="F46" i="34"/>
  <c r="G46" i="34"/>
  <c r="H46" i="34"/>
  <c r="I46" i="34"/>
  <c r="J46" i="34"/>
  <c r="K46" i="34"/>
  <c r="L46" i="34"/>
  <c r="M46" i="34"/>
  <c r="N46" i="34" s="1"/>
  <c r="O46" i="34"/>
  <c r="P46" i="34"/>
  <c r="Q46" i="34"/>
  <c r="S46" i="34"/>
  <c r="E47" i="34"/>
  <c r="F47" i="34"/>
  <c r="G47" i="34"/>
  <c r="H47" i="34"/>
  <c r="I47" i="34"/>
  <c r="J47" i="34"/>
  <c r="K47" i="34"/>
  <c r="L47" i="34"/>
  <c r="M47" i="34"/>
  <c r="N47" i="34" s="1"/>
  <c r="O47" i="34"/>
  <c r="P47" i="34"/>
  <c r="Q47" i="34"/>
  <c r="S47" i="34"/>
  <c r="E48" i="34"/>
  <c r="F48" i="34"/>
  <c r="G48" i="34"/>
  <c r="H48" i="34"/>
  <c r="I48" i="34"/>
  <c r="J48" i="34"/>
  <c r="K48" i="34"/>
  <c r="L48" i="34"/>
  <c r="M48" i="34"/>
  <c r="N48" i="34" s="1"/>
  <c r="O48" i="34"/>
  <c r="P48" i="34"/>
  <c r="Q48" i="34"/>
  <c r="E49" i="34"/>
  <c r="F49" i="34"/>
  <c r="G49" i="34"/>
  <c r="H49" i="34"/>
  <c r="I49" i="34"/>
  <c r="J49" i="34"/>
  <c r="K49" i="34"/>
  <c r="L49" i="34"/>
  <c r="M49" i="34"/>
  <c r="N49" i="34" s="1"/>
  <c r="O49" i="34"/>
  <c r="P49" i="34"/>
  <c r="Q49" i="34"/>
  <c r="S49" i="34"/>
  <c r="E50" i="34"/>
  <c r="F50" i="34"/>
  <c r="G50" i="34"/>
  <c r="J50" i="34"/>
  <c r="K50" i="34"/>
  <c r="L50" i="34"/>
  <c r="M50" i="34"/>
  <c r="O50" i="34"/>
  <c r="P54" i="34"/>
  <c r="D54" i="34" s="1"/>
  <c r="Q54" i="34"/>
  <c r="E58" i="34"/>
  <c r="F58" i="34"/>
  <c r="G58" i="34"/>
  <c r="H58" i="34"/>
  <c r="I58" i="34"/>
  <c r="J58" i="34"/>
  <c r="K58" i="34"/>
  <c r="L58" i="34"/>
  <c r="D58" i="34" s="1"/>
  <c r="B58" i="34" s="1"/>
  <c r="M58" i="34"/>
  <c r="O58" i="34"/>
  <c r="P58" i="34"/>
  <c r="Q58" i="34"/>
  <c r="E8" i="35"/>
  <c r="E8" i="34" s="1"/>
  <c r="F8" i="35"/>
  <c r="G8" i="35"/>
  <c r="H8" i="35"/>
  <c r="I8" i="35"/>
  <c r="J8" i="35"/>
  <c r="J10" i="35" s="1"/>
  <c r="K8" i="35"/>
  <c r="L8" i="35"/>
  <c r="L8" i="36" s="1"/>
  <c r="L10" i="36" s="1"/>
  <c r="M8" i="35"/>
  <c r="M8" i="34" s="1"/>
  <c r="N8" i="35"/>
  <c r="N10" i="35" s="1"/>
  <c r="O8" i="35"/>
  <c r="P8" i="35"/>
  <c r="Q8" i="35"/>
  <c r="S8" i="35"/>
  <c r="S8" i="36" s="1"/>
  <c r="E9" i="35"/>
  <c r="F9" i="35"/>
  <c r="G9" i="35"/>
  <c r="H9" i="35"/>
  <c r="H9" i="34" s="1"/>
  <c r="I9" i="35"/>
  <c r="J9" i="35"/>
  <c r="J9" i="34" s="1"/>
  <c r="K9" i="35"/>
  <c r="L9" i="35"/>
  <c r="L9" i="36" s="1"/>
  <c r="M9" i="35"/>
  <c r="N9" i="35"/>
  <c r="O9" i="35"/>
  <c r="P9" i="35"/>
  <c r="Q9" i="35"/>
  <c r="S9" i="35"/>
  <c r="G10" i="35"/>
  <c r="I10" i="35"/>
  <c r="K10" i="35"/>
  <c r="L10" i="35"/>
  <c r="O10" i="35"/>
  <c r="Q10" i="35"/>
  <c r="E12" i="35"/>
  <c r="F12" i="35"/>
  <c r="G12" i="35"/>
  <c r="H12" i="35"/>
  <c r="I12" i="35"/>
  <c r="J12" i="35"/>
  <c r="K12" i="35"/>
  <c r="L12" i="35"/>
  <c r="L12" i="36" s="1"/>
  <c r="M12" i="35"/>
  <c r="N12" i="35"/>
  <c r="O12" i="35"/>
  <c r="P12" i="35"/>
  <c r="Q12" i="35"/>
  <c r="Q12" i="34" s="1"/>
  <c r="S12" i="35"/>
  <c r="E13" i="35"/>
  <c r="E13" i="34" s="1"/>
  <c r="F13" i="35"/>
  <c r="F13" i="34" s="1"/>
  <c r="G13" i="35"/>
  <c r="H13" i="35"/>
  <c r="I13" i="35"/>
  <c r="J13" i="35"/>
  <c r="K13" i="35"/>
  <c r="K13" i="34" s="1"/>
  <c r="L13" i="35"/>
  <c r="M13" i="35"/>
  <c r="M13" i="34" s="1"/>
  <c r="N13" i="35"/>
  <c r="O13" i="35"/>
  <c r="P13" i="35"/>
  <c r="Q13" i="35"/>
  <c r="S13" i="35"/>
  <c r="S13" i="36" s="1"/>
  <c r="E14" i="35"/>
  <c r="E14" i="34" s="1"/>
  <c r="F14" i="35"/>
  <c r="G14" i="35"/>
  <c r="H14" i="35"/>
  <c r="I14" i="35"/>
  <c r="J14" i="35"/>
  <c r="J14" i="34" s="1"/>
  <c r="K14" i="35"/>
  <c r="L14" i="35"/>
  <c r="M14" i="35"/>
  <c r="M14" i="34" s="1"/>
  <c r="N14" i="35"/>
  <c r="O14" i="35"/>
  <c r="P14" i="35"/>
  <c r="P14" i="34" s="1"/>
  <c r="Q14" i="35"/>
  <c r="S14" i="35"/>
  <c r="S14" i="36" s="1"/>
  <c r="B15" i="35"/>
  <c r="D15" i="35"/>
  <c r="E16" i="35"/>
  <c r="F16" i="35"/>
  <c r="G16" i="35"/>
  <c r="H16" i="35"/>
  <c r="I16" i="35"/>
  <c r="J16" i="35"/>
  <c r="K16" i="35"/>
  <c r="K16" i="34" s="1"/>
  <c r="L16" i="35"/>
  <c r="L19" i="35" s="1"/>
  <c r="L33" i="35" s="1"/>
  <c r="L52" i="35" s="1"/>
  <c r="L56" i="35" s="1"/>
  <c r="L60" i="35" s="1"/>
  <c r="M16" i="35"/>
  <c r="N16" i="35"/>
  <c r="O16" i="35"/>
  <c r="P16" i="35"/>
  <c r="P16" i="34" s="1"/>
  <c r="Q16" i="35"/>
  <c r="S16" i="35"/>
  <c r="B17" i="35"/>
  <c r="D17" i="35"/>
  <c r="N17" i="35"/>
  <c r="S17" i="35"/>
  <c r="E18" i="35"/>
  <c r="F18" i="35"/>
  <c r="F18" i="34" s="1"/>
  <c r="N18" i="35"/>
  <c r="S18" i="35"/>
  <c r="S18" i="34" s="1"/>
  <c r="G19" i="35"/>
  <c r="N19" i="35"/>
  <c r="N33" i="35" s="1"/>
  <c r="O19" i="35"/>
  <c r="D22" i="35"/>
  <c r="N22" i="35"/>
  <c r="S22" i="35"/>
  <c r="E23" i="35"/>
  <c r="E23" i="36" s="1"/>
  <c r="E31" i="36" s="1"/>
  <c r="F23" i="35"/>
  <c r="F23" i="36" s="1"/>
  <c r="F31" i="36" s="1"/>
  <c r="N23" i="35"/>
  <c r="O23" i="35"/>
  <c r="S23" i="35"/>
  <c r="D24" i="35"/>
  <c r="B24" i="35" s="1"/>
  <c r="N24" i="35"/>
  <c r="S24" i="35"/>
  <c r="D25" i="35"/>
  <c r="N25" i="35"/>
  <c r="S25" i="35"/>
  <c r="D26" i="35"/>
  <c r="B26" i="35" s="1"/>
  <c r="N26" i="35"/>
  <c r="S26" i="35"/>
  <c r="D27" i="35"/>
  <c r="N27" i="35"/>
  <c r="S27" i="35"/>
  <c r="D28" i="35"/>
  <c r="B28" i="35" s="1"/>
  <c r="N28" i="35"/>
  <c r="S28" i="35"/>
  <c r="D29" i="35"/>
  <c r="N29" i="35"/>
  <c r="S29" i="35"/>
  <c r="D30" i="35"/>
  <c r="B30" i="35" s="1"/>
  <c r="N30" i="35"/>
  <c r="S30" i="35"/>
  <c r="F31" i="35"/>
  <c r="G31" i="35"/>
  <c r="G33" i="35" s="1"/>
  <c r="G52" i="35" s="1"/>
  <c r="G56" i="35" s="1"/>
  <c r="G60" i="35" s="1"/>
  <c r="H31" i="35"/>
  <c r="I31" i="35"/>
  <c r="J31" i="35"/>
  <c r="K31" i="35"/>
  <c r="L31" i="35"/>
  <c r="M31" i="35"/>
  <c r="N31" i="35"/>
  <c r="O31" i="35"/>
  <c r="O33" i="35" s="1"/>
  <c r="O52" i="35" s="1"/>
  <c r="O56" i="35" s="1"/>
  <c r="O60" i="35" s="1"/>
  <c r="P31" i="35"/>
  <c r="Q31" i="35"/>
  <c r="B36" i="35"/>
  <c r="D36" i="35"/>
  <c r="B37" i="35"/>
  <c r="D37" i="35"/>
  <c r="E38" i="35"/>
  <c r="F38" i="35"/>
  <c r="B39" i="35"/>
  <c r="D39" i="35"/>
  <c r="S39" i="35"/>
  <c r="B40" i="35"/>
  <c r="D40" i="35"/>
  <c r="D41" i="35"/>
  <c r="B41" i="35" s="1"/>
  <c r="C42" i="35"/>
  <c r="F42" i="35"/>
  <c r="G42" i="35"/>
  <c r="H42" i="35"/>
  <c r="I42" i="35"/>
  <c r="J42" i="35"/>
  <c r="K42" i="35"/>
  <c r="L42" i="35"/>
  <c r="M42" i="35"/>
  <c r="O42" i="35"/>
  <c r="P42" i="35"/>
  <c r="Q42" i="35"/>
  <c r="S42" i="35"/>
  <c r="B45" i="35"/>
  <c r="D45" i="35"/>
  <c r="D46" i="35"/>
  <c r="D47" i="35"/>
  <c r="B47" i="35" s="1"/>
  <c r="D48" i="35"/>
  <c r="S48" i="35"/>
  <c r="S48" i="34" s="1"/>
  <c r="S50" i="34" s="1"/>
  <c r="B49" i="35"/>
  <c r="D49" i="35"/>
  <c r="E50" i="35"/>
  <c r="F50" i="35"/>
  <c r="G50" i="35"/>
  <c r="H50" i="35"/>
  <c r="I50" i="35"/>
  <c r="J50" i="35"/>
  <c r="K50" i="35"/>
  <c r="L50" i="35"/>
  <c r="M50" i="35"/>
  <c r="O50" i="35"/>
  <c r="P50" i="35"/>
  <c r="Q50" i="35"/>
  <c r="S50" i="35"/>
  <c r="D54" i="35"/>
  <c r="S54" i="35"/>
  <c r="D58" i="35"/>
  <c r="B58" i="35" s="1"/>
  <c r="L13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R15" i="33"/>
  <c r="E17" i="33"/>
  <c r="F17" i="33"/>
  <c r="G17" i="33"/>
  <c r="H17" i="33"/>
  <c r="I17" i="33"/>
  <c r="J17" i="33"/>
  <c r="D17" i="33" s="1"/>
  <c r="K17" i="33"/>
  <c r="L17" i="33"/>
  <c r="N17" i="33" s="1"/>
  <c r="M17" i="33"/>
  <c r="O17" i="33"/>
  <c r="P17" i="33"/>
  <c r="G18" i="33"/>
  <c r="H18" i="33"/>
  <c r="I18" i="33"/>
  <c r="J18" i="33"/>
  <c r="K18" i="33"/>
  <c r="L18" i="33"/>
  <c r="M18" i="33"/>
  <c r="N18" i="33" s="1"/>
  <c r="O18" i="33"/>
  <c r="P18" i="33"/>
  <c r="E22" i="33"/>
  <c r="F22" i="33"/>
  <c r="G22" i="33"/>
  <c r="H22" i="33"/>
  <c r="I22" i="33"/>
  <c r="J22" i="33"/>
  <c r="K22" i="33"/>
  <c r="L22" i="33"/>
  <c r="L31" i="33" s="1"/>
  <c r="M22" i="33"/>
  <c r="N22" i="33"/>
  <c r="O22" i="33"/>
  <c r="P22" i="33"/>
  <c r="E23" i="33"/>
  <c r="F23" i="33"/>
  <c r="G23" i="33"/>
  <c r="H23" i="33"/>
  <c r="H31" i="33" s="1"/>
  <c r="I23" i="33"/>
  <c r="J23" i="33"/>
  <c r="K23" i="33"/>
  <c r="L23" i="33"/>
  <c r="M23" i="33"/>
  <c r="N23" i="33" s="1"/>
  <c r="O23" i="33"/>
  <c r="D23" i="33" s="1"/>
  <c r="P23" i="33"/>
  <c r="E24" i="33"/>
  <c r="F24" i="33"/>
  <c r="G24" i="33"/>
  <c r="H24" i="33"/>
  <c r="I24" i="33"/>
  <c r="J24" i="33"/>
  <c r="J31" i="33" s="1"/>
  <c r="K24" i="33"/>
  <c r="L24" i="33"/>
  <c r="M24" i="33"/>
  <c r="O24" i="33"/>
  <c r="P24" i="33"/>
  <c r="E25" i="33"/>
  <c r="F25" i="33"/>
  <c r="D25" i="33" s="1"/>
  <c r="G25" i="33"/>
  <c r="H25" i="33"/>
  <c r="I25" i="33"/>
  <c r="J25" i="33"/>
  <c r="K25" i="33"/>
  <c r="L25" i="33"/>
  <c r="M25" i="33"/>
  <c r="N25" i="33"/>
  <c r="O25" i="33"/>
  <c r="P25" i="33"/>
  <c r="E26" i="33"/>
  <c r="F26" i="33"/>
  <c r="G26" i="33"/>
  <c r="H26" i="33"/>
  <c r="I26" i="33"/>
  <c r="J26" i="33"/>
  <c r="K26" i="33"/>
  <c r="L26" i="33"/>
  <c r="M26" i="33"/>
  <c r="N26" i="33" s="1"/>
  <c r="O26" i="33"/>
  <c r="P26" i="33"/>
  <c r="D26" i="33" s="1"/>
  <c r="E27" i="33"/>
  <c r="F27" i="33"/>
  <c r="G27" i="33"/>
  <c r="H27" i="33"/>
  <c r="I27" i="33"/>
  <c r="J27" i="33"/>
  <c r="K27" i="33"/>
  <c r="L27" i="33"/>
  <c r="M27" i="33"/>
  <c r="N27" i="33"/>
  <c r="O27" i="33"/>
  <c r="P27" i="33"/>
  <c r="E28" i="33"/>
  <c r="F28" i="33"/>
  <c r="G28" i="33"/>
  <c r="H28" i="33"/>
  <c r="I28" i="33"/>
  <c r="J28" i="33"/>
  <c r="K28" i="33"/>
  <c r="L28" i="33"/>
  <c r="M28" i="33"/>
  <c r="N28" i="33" s="1"/>
  <c r="O28" i="33"/>
  <c r="P28" i="33"/>
  <c r="E29" i="33"/>
  <c r="F29" i="33"/>
  <c r="G29" i="33"/>
  <c r="H29" i="33"/>
  <c r="I29" i="33"/>
  <c r="J29" i="33"/>
  <c r="K29" i="33"/>
  <c r="L29" i="33"/>
  <c r="M29" i="33"/>
  <c r="N29" i="33" s="1"/>
  <c r="O29" i="33"/>
  <c r="D29" i="33" s="1"/>
  <c r="P29" i="33"/>
  <c r="E30" i="33"/>
  <c r="E31" i="33" s="1"/>
  <c r="F30" i="33"/>
  <c r="G30" i="33"/>
  <c r="H30" i="33"/>
  <c r="I30" i="33"/>
  <c r="J30" i="33"/>
  <c r="K30" i="33"/>
  <c r="L30" i="33"/>
  <c r="M30" i="33"/>
  <c r="N30" i="33" s="1"/>
  <c r="O30" i="33"/>
  <c r="D30" i="33" s="1"/>
  <c r="P30" i="33"/>
  <c r="G31" i="33"/>
  <c r="E36" i="33"/>
  <c r="F36" i="33"/>
  <c r="G36" i="33"/>
  <c r="H36" i="33"/>
  <c r="H42" i="33" s="1"/>
  <c r="I36" i="33"/>
  <c r="J36" i="33"/>
  <c r="K36" i="33"/>
  <c r="L36" i="33"/>
  <c r="L42" i="33" s="1"/>
  <c r="M36" i="33"/>
  <c r="O36" i="33"/>
  <c r="P36" i="33"/>
  <c r="E37" i="33"/>
  <c r="F37" i="33"/>
  <c r="G37" i="33"/>
  <c r="H37" i="33"/>
  <c r="I37" i="33"/>
  <c r="J37" i="33"/>
  <c r="K37" i="33"/>
  <c r="L37" i="33"/>
  <c r="M37" i="33"/>
  <c r="O37" i="33"/>
  <c r="D37" i="33" s="1"/>
  <c r="B37" i="33" s="1"/>
  <c r="P37" i="33"/>
  <c r="G38" i="33"/>
  <c r="H38" i="33"/>
  <c r="I38" i="33"/>
  <c r="J38" i="33"/>
  <c r="K38" i="33"/>
  <c r="L38" i="33"/>
  <c r="M38" i="33"/>
  <c r="N38" i="33"/>
  <c r="O38" i="33"/>
  <c r="P38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E40" i="33"/>
  <c r="F40" i="33"/>
  <c r="G40" i="33"/>
  <c r="H40" i="33"/>
  <c r="I40" i="33"/>
  <c r="J40" i="33"/>
  <c r="K40" i="33"/>
  <c r="K42" i="33" s="1"/>
  <c r="L40" i="33"/>
  <c r="M40" i="33"/>
  <c r="N40" i="33"/>
  <c r="O40" i="33"/>
  <c r="P40" i="33"/>
  <c r="R40" i="33"/>
  <c r="E41" i="33"/>
  <c r="F41" i="33"/>
  <c r="G41" i="33"/>
  <c r="H41" i="33"/>
  <c r="I41" i="33"/>
  <c r="J41" i="33"/>
  <c r="K41" i="33"/>
  <c r="L41" i="33"/>
  <c r="D41" i="33" s="1"/>
  <c r="B41" i="33" s="1"/>
  <c r="M41" i="33"/>
  <c r="O41" i="33"/>
  <c r="P41" i="33"/>
  <c r="C42" i="33"/>
  <c r="I42" i="33"/>
  <c r="P42" i="33"/>
  <c r="E45" i="33"/>
  <c r="D45" i="33" s="1"/>
  <c r="F45" i="33"/>
  <c r="G45" i="33"/>
  <c r="H45" i="33"/>
  <c r="I45" i="33"/>
  <c r="J45" i="33"/>
  <c r="K45" i="33"/>
  <c r="L45" i="33"/>
  <c r="M45" i="33"/>
  <c r="O45" i="33"/>
  <c r="P45" i="33"/>
  <c r="E46" i="33"/>
  <c r="E50" i="33" s="1"/>
  <c r="F46" i="33"/>
  <c r="G46" i="33"/>
  <c r="G50" i="33" s="1"/>
  <c r="H46" i="33"/>
  <c r="I46" i="33"/>
  <c r="J46" i="33"/>
  <c r="J50" i="33" s="1"/>
  <c r="K46" i="33"/>
  <c r="L46" i="33"/>
  <c r="L50" i="33" s="1"/>
  <c r="M46" i="33"/>
  <c r="M50" i="33" s="1"/>
  <c r="O46" i="33"/>
  <c r="P46" i="33"/>
  <c r="E47" i="33"/>
  <c r="F47" i="33"/>
  <c r="G47" i="33"/>
  <c r="D47" i="33" s="1"/>
  <c r="B47" i="33" s="1"/>
  <c r="H47" i="33"/>
  <c r="I47" i="33"/>
  <c r="J47" i="33"/>
  <c r="K47" i="33"/>
  <c r="L47" i="33"/>
  <c r="M47" i="33"/>
  <c r="O47" i="33"/>
  <c r="P47" i="33"/>
  <c r="E48" i="33"/>
  <c r="F48" i="33"/>
  <c r="G48" i="33"/>
  <c r="H48" i="33"/>
  <c r="I48" i="33"/>
  <c r="J48" i="33"/>
  <c r="K48" i="33"/>
  <c r="L48" i="33"/>
  <c r="M48" i="33"/>
  <c r="O48" i="33"/>
  <c r="P48" i="33"/>
  <c r="E49" i="33"/>
  <c r="F49" i="33"/>
  <c r="F50" i="33" s="1"/>
  <c r="G49" i="33"/>
  <c r="H49" i="33"/>
  <c r="I49" i="33"/>
  <c r="J49" i="33"/>
  <c r="K49" i="33"/>
  <c r="L49" i="33"/>
  <c r="M49" i="33"/>
  <c r="O49" i="33"/>
  <c r="P49" i="33"/>
  <c r="I50" i="33"/>
  <c r="N50" i="33"/>
  <c r="R50" i="33"/>
  <c r="B54" i="33"/>
  <c r="P54" i="33"/>
  <c r="D54" i="33" s="1"/>
  <c r="R54" i="33"/>
  <c r="E58" i="33"/>
  <c r="F58" i="33"/>
  <c r="G58" i="33"/>
  <c r="H58" i="33"/>
  <c r="I58" i="33"/>
  <c r="J58" i="33"/>
  <c r="K58" i="33"/>
  <c r="L58" i="33"/>
  <c r="M58" i="33"/>
  <c r="O58" i="33"/>
  <c r="P58" i="33"/>
  <c r="E8" i="32"/>
  <c r="F8" i="32"/>
  <c r="G8" i="32"/>
  <c r="G10" i="32" s="1"/>
  <c r="H8" i="32"/>
  <c r="I8" i="32"/>
  <c r="I10" i="32" s="1"/>
  <c r="J8" i="32"/>
  <c r="K8" i="32"/>
  <c r="K10" i="32" s="1"/>
  <c r="L8" i="32"/>
  <c r="M8" i="32"/>
  <c r="N8" i="32"/>
  <c r="N10" i="32" s="1"/>
  <c r="O8" i="32"/>
  <c r="Q8" i="32"/>
  <c r="S8" i="32"/>
  <c r="E9" i="32"/>
  <c r="F9" i="32"/>
  <c r="G9" i="32"/>
  <c r="H9" i="32"/>
  <c r="I9" i="32"/>
  <c r="I9" i="34" s="1"/>
  <c r="J9" i="32"/>
  <c r="K9" i="32"/>
  <c r="L9" i="32"/>
  <c r="M9" i="32"/>
  <c r="N9" i="32"/>
  <c r="O9" i="32"/>
  <c r="Q9" i="32"/>
  <c r="S9" i="32"/>
  <c r="H10" i="32"/>
  <c r="J10" i="32"/>
  <c r="M10" i="32"/>
  <c r="M19" i="32" s="1"/>
  <c r="M33" i="32" s="1"/>
  <c r="M52" i="32" s="1"/>
  <c r="Q10" i="32"/>
  <c r="E12" i="32"/>
  <c r="F12" i="32"/>
  <c r="G12" i="32"/>
  <c r="H12" i="32"/>
  <c r="I12" i="32"/>
  <c r="J12" i="32"/>
  <c r="K12" i="32"/>
  <c r="L12" i="32"/>
  <c r="M12" i="32"/>
  <c r="N12" i="32"/>
  <c r="O12" i="32"/>
  <c r="D12" i="32" s="1"/>
  <c r="B12" i="32" s="1"/>
  <c r="Q12" i="32"/>
  <c r="S12" i="32"/>
  <c r="E13" i="32"/>
  <c r="F13" i="32"/>
  <c r="G13" i="32"/>
  <c r="H13" i="32"/>
  <c r="I13" i="32"/>
  <c r="J13" i="32"/>
  <c r="K13" i="32"/>
  <c r="L13" i="32"/>
  <c r="M13" i="32"/>
  <c r="N13" i="32"/>
  <c r="O13" i="32"/>
  <c r="Q13" i="32"/>
  <c r="S13" i="32"/>
  <c r="E14" i="32"/>
  <c r="F14" i="32"/>
  <c r="G14" i="32"/>
  <c r="G14" i="33" s="1"/>
  <c r="H14" i="32"/>
  <c r="I14" i="32"/>
  <c r="J14" i="32"/>
  <c r="K14" i="32"/>
  <c r="L14" i="32"/>
  <c r="M14" i="32"/>
  <c r="N14" i="32"/>
  <c r="O14" i="32"/>
  <c r="Q14" i="32"/>
  <c r="S14" i="32"/>
  <c r="R14" i="33" s="1"/>
  <c r="D15" i="32"/>
  <c r="B15" i="32" s="1"/>
  <c r="E16" i="32"/>
  <c r="F16" i="32"/>
  <c r="G16" i="32"/>
  <c r="H16" i="32"/>
  <c r="I16" i="32"/>
  <c r="J16" i="32"/>
  <c r="K16" i="32"/>
  <c r="L16" i="32"/>
  <c r="M16" i="32"/>
  <c r="N16" i="32"/>
  <c r="O16" i="32"/>
  <c r="Q16" i="32"/>
  <c r="S16" i="32"/>
  <c r="B17" i="32"/>
  <c r="D17" i="32"/>
  <c r="N17" i="32"/>
  <c r="S17" i="32"/>
  <c r="E18" i="32"/>
  <c r="F18" i="32"/>
  <c r="N18" i="32"/>
  <c r="S18" i="32"/>
  <c r="K19" i="32"/>
  <c r="N19" i="32"/>
  <c r="N33" i="32" s="1"/>
  <c r="D22" i="32"/>
  <c r="B22" i="32" s="1"/>
  <c r="N22" i="32"/>
  <c r="S22" i="32"/>
  <c r="D23" i="32"/>
  <c r="N23" i="32"/>
  <c r="S23" i="32"/>
  <c r="D24" i="32"/>
  <c r="B24" i="32" s="1"/>
  <c r="N24" i="32"/>
  <c r="S24" i="32"/>
  <c r="D25" i="32"/>
  <c r="N25" i="32"/>
  <c r="S25" i="32"/>
  <c r="D26" i="32"/>
  <c r="B26" i="32" s="1"/>
  <c r="N26" i="32"/>
  <c r="S26" i="32"/>
  <c r="D27" i="32"/>
  <c r="B27" i="32" s="1"/>
  <c r="N27" i="32"/>
  <c r="S27" i="32"/>
  <c r="D28" i="32"/>
  <c r="B28" i="32" s="1"/>
  <c r="N28" i="32"/>
  <c r="S28" i="32"/>
  <c r="R28" i="33" s="1"/>
  <c r="D29" i="32"/>
  <c r="B29" i="32" s="1"/>
  <c r="N29" i="32"/>
  <c r="S29" i="32"/>
  <c r="D30" i="32"/>
  <c r="B30" i="32" s="1"/>
  <c r="N30" i="32"/>
  <c r="S30" i="32"/>
  <c r="E31" i="32"/>
  <c r="F31" i="32"/>
  <c r="G31" i="32"/>
  <c r="H31" i="32"/>
  <c r="I31" i="32"/>
  <c r="J31" i="32"/>
  <c r="K31" i="32"/>
  <c r="L31" i="32"/>
  <c r="M31" i="32"/>
  <c r="N31" i="32"/>
  <c r="O31" i="32"/>
  <c r="Q31" i="32"/>
  <c r="B36" i="32"/>
  <c r="D36" i="32"/>
  <c r="B37" i="32"/>
  <c r="D37" i="32"/>
  <c r="D38" i="32"/>
  <c r="B38" i="32" s="1"/>
  <c r="E38" i="32"/>
  <c r="F38" i="32"/>
  <c r="F38" i="34" s="1"/>
  <c r="D39" i="32"/>
  <c r="S39" i="32"/>
  <c r="B40" i="32"/>
  <c r="D40" i="32"/>
  <c r="B41" i="32"/>
  <c r="D41" i="32"/>
  <c r="C42" i="32"/>
  <c r="E42" i="32"/>
  <c r="F42" i="32"/>
  <c r="G42" i="32"/>
  <c r="H42" i="32"/>
  <c r="I42" i="32"/>
  <c r="J42" i="32"/>
  <c r="K42" i="32"/>
  <c r="L42" i="32"/>
  <c r="M42" i="32"/>
  <c r="O42" i="32"/>
  <c r="Q42" i="32"/>
  <c r="S42" i="32"/>
  <c r="D45" i="32"/>
  <c r="B46" i="32"/>
  <c r="D46" i="32"/>
  <c r="D47" i="32"/>
  <c r="B47" i="32" s="1"/>
  <c r="D48" i="32"/>
  <c r="B48" i="32" s="1"/>
  <c r="D49" i="32"/>
  <c r="B49" i="32" s="1"/>
  <c r="E50" i="32"/>
  <c r="F50" i="32"/>
  <c r="G50" i="32"/>
  <c r="H50" i="32"/>
  <c r="I50" i="32"/>
  <c r="J50" i="32"/>
  <c r="K50" i="32"/>
  <c r="L50" i="32"/>
  <c r="M50" i="32"/>
  <c r="O50" i="32"/>
  <c r="Q50" i="32"/>
  <c r="S50" i="32"/>
  <c r="D54" i="32"/>
  <c r="S54" i="32"/>
  <c r="B54" i="32" s="1"/>
  <c r="B58" i="32"/>
  <c r="D58" i="32"/>
  <c r="C7" i="7"/>
  <c r="C14" i="7"/>
  <c r="C20" i="7"/>
  <c r="C25" i="7"/>
  <c r="F8" i="5"/>
  <c r="G8" i="5"/>
  <c r="H8" i="5"/>
  <c r="H10" i="5" s="1"/>
  <c r="H22" i="5" s="1"/>
  <c r="H36" i="5" s="1"/>
  <c r="H57" i="5" s="1"/>
  <c r="H59" i="5" s="1"/>
  <c r="I8" i="5"/>
  <c r="I10" i="5" s="1"/>
  <c r="J8" i="5"/>
  <c r="K8" i="5"/>
  <c r="K10" i="5" s="1"/>
  <c r="L8" i="5"/>
  <c r="M8" i="5"/>
  <c r="N8" i="5"/>
  <c r="N10" i="5" s="1"/>
  <c r="N22" i="5" s="1"/>
  <c r="O8" i="5"/>
  <c r="P8" i="5"/>
  <c r="Q8" i="5"/>
  <c r="Q10" i="5" s="1"/>
  <c r="Q22" i="5" s="1"/>
  <c r="Q36" i="5" s="1"/>
  <c r="Q57" i="5" s="1"/>
  <c r="Q59" i="5" s="1"/>
  <c r="R8" i="5"/>
  <c r="F9" i="5"/>
  <c r="G9" i="5"/>
  <c r="H9" i="5"/>
  <c r="I9" i="5"/>
  <c r="J9" i="5"/>
  <c r="K9" i="5"/>
  <c r="L9" i="5"/>
  <c r="M9" i="5"/>
  <c r="M10" i="5" s="1"/>
  <c r="M22" i="5" s="1"/>
  <c r="M36" i="5" s="1"/>
  <c r="M57" i="5" s="1"/>
  <c r="M59" i="5" s="1"/>
  <c r="N9" i="5"/>
  <c r="O9" i="5"/>
  <c r="P9" i="5"/>
  <c r="Q9" i="5"/>
  <c r="R9" i="5"/>
  <c r="R10" i="5" s="1"/>
  <c r="G10" i="5"/>
  <c r="G22" i="5" s="1"/>
  <c r="G36" i="5" s="1"/>
  <c r="G57" i="5" s="1"/>
  <c r="G59" i="5" s="1"/>
  <c r="J10" i="5"/>
  <c r="J22" i="5" s="1"/>
  <c r="J36" i="5" s="1"/>
  <c r="J57" i="5" s="1"/>
  <c r="J59" i="5" s="1"/>
  <c r="L10" i="5"/>
  <c r="O10" i="5"/>
  <c r="O22" i="5" s="1"/>
  <c r="O36" i="5" s="1"/>
  <c r="O57" i="5" s="1"/>
  <c r="O59" i="5" s="1"/>
  <c r="P10" i="5"/>
  <c r="F11" i="5"/>
  <c r="G11" i="5"/>
  <c r="H11" i="5"/>
  <c r="I11" i="5"/>
  <c r="J11" i="5"/>
  <c r="K11" i="5"/>
  <c r="L11" i="5"/>
  <c r="M11" i="5"/>
  <c r="N11" i="5"/>
  <c r="P11" i="5" s="1"/>
  <c r="O11" i="5"/>
  <c r="Q11" i="5"/>
  <c r="R11" i="5"/>
  <c r="D12" i="5"/>
  <c r="P12" i="5"/>
  <c r="F13" i="5"/>
  <c r="G13" i="5"/>
  <c r="H13" i="5"/>
  <c r="I13" i="5"/>
  <c r="J13" i="5"/>
  <c r="K13" i="5"/>
  <c r="L13" i="5"/>
  <c r="M13" i="5"/>
  <c r="N13" i="5"/>
  <c r="P13" i="5" s="1"/>
  <c r="O13" i="5"/>
  <c r="Q13" i="5"/>
  <c r="R13" i="5"/>
  <c r="D14" i="5"/>
  <c r="P14" i="5"/>
  <c r="F15" i="5"/>
  <c r="G15" i="5"/>
  <c r="H15" i="5"/>
  <c r="I15" i="5"/>
  <c r="J15" i="5"/>
  <c r="K15" i="5"/>
  <c r="L15" i="5"/>
  <c r="M15" i="5"/>
  <c r="N15" i="5"/>
  <c r="P15" i="5" s="1"/>
  <c r="O15" i="5"/>
  <c r="Q15" i="5"/>
  <c r="R15" i="5"/>
  <c r="D16" i="5"/>
  <c r="P16" i="5"/>
  <c r="D17" i="5"/>
  <c r="P17" i="5"/>
  <c r="D18" i="5"/>
  <c r="P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P20" i="5"/>
  <c r="F21" i="5"/>
  <c r="G21" i="5"/>
  <c r="H21" i="5"/>
  <c r="D21" i="5" s="1"/>
  <c r="J21" i="5"/>
  <c r="L21" i="5"/>
  <c r="M21" i="5"/>
  <c r="N21" i="5"/>
  <c r="P21" i="5"/>
  <c r="Q21" i="5"/>
  <c r="K22" i="5"/>
  <c r="K36" i="5" s="1"/>
  <c r="K57" i="5" s="1"/>
  <c r="K59" i="5" s="1"/>
  <c r="K64" i="5" s="1"/>
  <c r="D23" i="5"/>
  <c r="P23" i="5"/>
  <c r="D24" i="5"/>
  <c r="P24" i="5"/>
  <c r="D25" i="5"/>
  <c r="P25" i="5"/>
  <c r="I26" i="5"/>
  <c r="K26" i="5"/>
  <c r="K35" i="5" s="1"/>
  <c r="L26" i="5"/>
  <c r="M26" i="5"/>
  <c r="P26" i="5"/>
  <c r="D27" i="5"/>
  <c r="P27" i="5"/>
  <c r="D28" i="5"/>
  <c r="P28" i="5"/>
  <c r="D29" i="5"/>
  <c r="P29" i="5"/>
  <c r="D30" i="5"/>
  <c r="P30" i="5"/>
  <c r="D31" i="5"/>
  <c r="P31" i="5"/>
  <c r="D32" i="5"/>
  <c r="P32" i="5"/>
  <c r="D33" i="5"/>
  <c r="P33" i="5"/>
  <c r="D34" i="5"/>
  <c r="P34" i="5"/>
  <c r="F35" i="5"/>
  <c r="G35" i="5"/>
  <c r="H35" i="5"/>
  <c r="I35" i="5"/>
  <c r="J35" i="5"/>
  <c r="L35" i="5"/>
  <c r="M35" i="5"/>
  <c r="N35" i="5"/>
  <c r="P35" i="5" s="1"/>
  <c r="O35" i="5"/>
  <c r="Q35" i="5"/>
  <c r="R35" i="5"/>
  <c r="D37" i="5"/>
  <c r="P37" i="5"/>
  <c r="D38" i="5"/>
  <c r="P38" i="5"/>
  <c r="D39" i="5"/>
  <c r="P39" i="5"/>
  <c r="D40" i="5"/>
  <c r="F40" i="5"/>
  <c r="P40" i="5"/>
  <c r="D41" i="5"/>
  <c r="P41" i="5"/>
  <c r="D42" i="5"/>
  <c r="P42" i="5"/>
  <c r="D43" i="5"/>
  <c r="P43" i="5"/>
  <c r="D44" i="5"/>
  <c r="P44" i="5"/>
  <c r="D45" i="5"/>
  <c r="P45" i="5"/>
  <c r="D46" i="5"/>
  <c r="G46" i="5"/>
  <c r="P46" i="5"/>
  <c r="F47" i="5"/>
  <c r="G47" i="5"/>
  <c r="H47" i="5"/>
  <c r="D47" i="5" s="1"/>
  <c r="I47" i="5"/>
  <c r="J47" i="5"/>
  <c r="K47" i="5"/>
  <c r="L47" i="5"/>
  <c r="M47" i="5"/>
  <c r="N47" i="5"/>
  <c r="O47" i="5"/>
  <c r="P47" i="5"/>
  <c r="Q47" i="5"/>
  <c r="R47" i="5"/>
  <c r="D48" i="5"/>
  <c r="P48" i="5"/>
  <c r="D49" i="5"/>
  <c r="P49" i="5"/>
  <c r="D50" i="5"/>
  <c r="P50" i="5"/>
  <c r="D51" i="5"/>
  <c r="P51" i="5"/>
  <c r="D52" i="5"/>
  <c r="P52" i="5"/>
  <c r="D53" i="5"/>
  <c r="P53" i="5"/>
  <c r="F54" i="5"/>
  <c r="F56" i="5" s="1"/>
  <c r="P54" i="5"/>
  <c r="D55" i="5"/>
  <c r="N55" i="5"/>
  <c r="N56" i="5" s="1"/>
  <c r="P56" i="5" s="1"/>
  <c r="P55" i="5"/>
  <c r="G56" i="5"/>
  <c r="H56" i="5"/>
  <c r="I56" i="5"/>
  <c r="J56" i="5"/>
  <c r="K56" i="5"/>
  <c r="L56" i="5"/>
  <c r="M56" i="5"/>
  <c r="O56" i="5"/>
  <c r="Q56" i="5"/>
  <c r="R56" i="5"/>
  <c r="D58" i="5"/>
  <c r="P58" i="5"/>
  <c r="S58" i="5"/>
  <c r="D60" i="5"/>
  <c r="P60" i="5"/>
  <c r="D61" i="5"/>
  <c r="P61" i="5"/>
  <c r="D62" i="5"/>
  <c r="P62" i="5"/>
  <c r="D63" i="5"/>
  <c r="P63" i="5"/>
  <c r="M64" i="5"/>
  <c r="D65" i="5"/>
  <c r="P65" i="5"/>
  <c r="D66" i="5"/>
  <c r="J66" i="5"/>
  <c r="P66" i="5"/>
  <c r="M67" i="5"/>
  <c r="G8" i="27"/>
  <c r="J8" i="27"/>
  <c r="K8" i="27"/>
  <c r="N8" i="27"/>
  <c r="N10" i="27" s="1"/>
  <c r="E9" i="27"/>
  <c r="H9" i="27"/>
  <c r="M9" i="27"/>
  <c r="J10" i="27"/>
  <c r="F12" i="27"/>
  <c r="J12" i="27"/>
  <c r="M12" i="27"/>
  <c r="O12" i="27"/>
  <c r="G13" i="27"/>
  <c r="I13" i="27"/>
  <c r="P13" i="27"/>
  <c r="I14" i="27"/>
  <c r="O14" i="27"/>
  <c r="P14" i="27"/>
  <c r="R14" i="27"/>
  <c r="E15" i="27"/>
  <c r="F15" i="27"/>
  <c r="G15" i="27"/>
  <c r="H15" i="27"/>
  <c r="I15" i="27"/>
  <c r="J15" i="27"/>
  <c r="K15" i="27"/>
  <c r="L15" i="27"/>
  <c r="M15" i="27"/>
  <c r="N15" i="27" s="1"/>
  <c r="O15" i="27"/>
  <c r="D15" i="27" s="1"/>
  <c r="B15" i="27" s="1"/>
  <c r="P15" i="27"/>
  <c r="R15" i="27"/>
  <c r="G16" i="27"/>
  <c r="I16" i="27"/>
  <c r="P16" i="27"/>
  <c r="E17" i="27"/>
  <c r="F17" i="27"/>
  <c r="G17" i="27"/>
  <c r="H17" i="27"/>
  <c r="I17" i="27"/>
  <c r="J17" i="27"/>
  <c r="K17" i="27"/>
  <c r="L17" i="27"/>
  <c r="M17" i="27"/>
  <c r="N17" i="27" s="1"/>
  <c r="O17" i="27"/>
  <c r="D17" i="27" s="1"/>
  <c r="B17" i="27" s="1"/>
  <c r="P17" i="27"/>
  <c r="R17" i="27"/>
  <c r="E18" i="27"/>
  <c r="G18" i="27"/>
  <c r="H18" i="27"/>
  <c r="I18" i="27"/>
  <c r="J18" i="27"/>
  <c r="K18" i="27"/>
  <c r="L18" i="27"/>
  <c r="M18" i="27"/>
  <c r="N18" i="27" s="1"/>
  <c r="O18" i="27"/>
  <c r="P18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E23" i="27"/>
  <c r="F23" i="27"/>
  <c r="G23" i="27"/>
  <c r="H23" i="27"/>
  <c r="I23" i="27"/>
  <c r="J23" i="27"/>
  <c r="K23" i="27"/>
  <c r="K31" i="27" s="1"/>
  <c r="L23" i="27"/>
  <c r="M23" i="27"/>
  <c r="N23" i="27"/>
  <c r="O23" i="27"/>
  <c r="P23" i="27"/>
  <c r="R23" i="27"/>
  <c r="E24" i="27"/>
  <c r="F24" i="27"/>
  <c r="G24" i="27"/>
  <c r="H24" i="27"/>
  <c r="I24" i="27"/>
  <c r="J24" i="27"/>
  <c r="K24" i="27"/>
  <c r="L24" i="27"/>
  <c r="M24" i="27"/>
  <c r="O24" i="27"/>
  <c r="D24" i="27" s="1"/>
  <c r="P24" i="27"/>
  <c r="E25" i="27"/>
  <c r="F25" i="27"/>
  <c r="G25" i="27"/>
  <c r="H25" i="27"/>
  <c r="I25" i="27"/>
  <c r="J25" i="27"/>
  <c r="K25" i="27"/>
  <c r="L25" i="27"/>
  <c r="M25" i="27"/>
  <c r="N25" i="27" s="1"/>
  <c r="O25" i="27"/>
  <c r="D25" i="27" s="1"/>
  <c r="B25" i="27" s="1"/>
  <c r="P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R26" i="27"/>
  <c r="E27" i="27"/>
  <c r="F27" i="27"/>
  <c r="G27" i="27"/>
  <c r="H27" i="27"/>
  <c r="I27" i="27"/>
  <c r="J27" i="27"/>
  <c r="K27" i="27"/>
  <c r="L27" i="27"/>
  <c r="M27" i="27"/>
  <c r="O27" i="27"/>
  <c r="D27" i="27" s="1"/>
  <c r="B27" i="27" s="1"/>
  <c r="P27" i="27"/>
  <c r="R27" i="27"/>
  <c r="E28" i="27"/>
  <c r="F28" i="27"/>
  <c r="G28" i="27"/>
  <c r="H28" i="27"/>
  <c r="I28" i="27"/>
  <c r="J28" i="27"/>
  <c r="K28" i="27"/>
  <c r="L28" i="27"/>
  <c r="M28" i="27"/>
  <c r="N28" i="27" s="1"/>
  <c r="O28" i="27"/>
  <c r="P28" i="27"/>
  <c r="D28" i="27" s="1"/>
  <c r="E29" i="27"/>
  <c r="F29" i="27"/>
  <c r="G29" i="27"/>
  <c r="H29" i="27"/>
  <c r="I29" i="27"/>
  <c r="J29" i="27"/>
  <c r="K29" i="27"/>
  <c r="L29" i="27"/>
  <c r="N29" i="27" s="1"/>
  <c r="M29" i="27"/>
  <c r="O29" i="27"/>
  <c r="P29" i="27"/>
  <c r="R29" i="27"/>
  <c r="E30" i="27"/>
  <c r="E31" i="27" s="1"/>
  <c r="F30" i="27"/>
  <c r="G30" i="27"/>
  <c r="H30" i="27"/>
  <c r="I30" i="27"/>
  <c r="J30" i="27"/>
  <c r="K30" i="27"/>
  <c r="L30" i="27"/>
  <c r="M30" i="27"/>
  <c r="N30" i="27" s="1"/>
  <c r="O30" i="27"/>
  <c r="P30" i="27"/>
  <c r="G31" i="27"/>
  <c r="E36" i="27"/>
  <c r="F36" i="27"/>
  <c r="G36" i="27"/>
  <c r="H36" i="27"/>
  <c r="I36" i="27"/>
  <c r="J36" i="27"/>
  <c r="K36" i="27"/>
  <c r="K43" i="27" s="1"/>
  <c r="L36" i="27"/>
  <c r="M36" i="27"/>
  <c r="O36" i="27"/>
  <c r="P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D37" i="27" s="1"/>
  <c r="B37" i="27" s="1"/>
  <c r="G38" i="27"/>
  <c r="H38" i="27"/>
  <c r="I38" i="27"/>
  <c r="J38" i="27"/>
  <c r="J43" i="27" s="1"/>
  <c r="K38" i="27"/>
  <c r="L38" i="27"/>
  <c r="M38" i="27"/>
  <c r="N38" i="27" s="1"/>
  <c r="O38" i="27"/>
  <c r="P38" i="27"/>
  <c r="E39" i="27"/>
  <c r="F39" i="27"/>
  <c r="G39" i="27"/>
  <c r="H39" i="27"/>
  <c r="I39" i="27"/>
  <c r="J39" i="27"/>
  <c r="K39" i="27"/>
  <c r="L39" i="27"/>
  <c r="M39" i="27"/>
  <c r="N39" i="27" s="1"/>
  <c r="O39" i="27"/>
  <c r="P39" i="27"/>
  <c r="B40" i="27"/>
  <c r="E40" i="27"/>
  <c r="F40" i="27"/>
  <c r="G40" i="27"/>
  <c r="H40" i="27"/>
  <c r="I40" i="27"/>
  <c r="J40" i="27"/>
  <c r="K40" i="27"/>
  <c r="L40" i="27"/>
  <c r="N40" i="27" s="1"/>
  <c r="M40" i="27"/>
  <c r="O40" i="27"/>
  <c r="P40" i="27"/>
  <c r="R40" i="27"/>
  <c r="E41" i="27"/>
  <c r="D41" i="27" s="1"/>
  <c r="B41" i="27" s="1"/>
  <c r="F41" i="27"/>
  <c r="G41" i="27"/>
  <c r="H41" i="27"/>
  <c r="I41" i="27"/>
  <c r="J41" i="27"/>
  <c r="K41" i="27"/>
  <c r="L41" i="27"/>
  <c r="M41" i="27"/>
  <c r="N41" i="27" s="1"/>
  <c r="O41" i="27"/>
  <c r="P41" i="27"/>
  <c r="R41" i="27"/>
  <c r="E42" i="27"/>
  <c r="F42" i="27"/>
  <c r="G42" i="27"/>
  <c r="H42" i="27"/>
  <c r="I42" i="27"/>
  <c r="J42" i="27"/>
  <c r="K42" i="27"/>
  <c r="L42" i="27"/>
  <c r="M42" i="27"/>
  <c r="N42" i="27" s="1"/>
  <c r="O42" i="27"/>
  <c r="P42" i="27"/>
  <c r="D42" i="27" s="1"/>
  <c r="B42" i="27" s="1"/>
  <c r="C43" i="27"/>
  <c r="I43" i="27"/>
  <c r="L43" i="27"/>
  <c r="E46" i="27"/>
  <c r="F46" i="27"/>
  <c r="G46" i="27"/>
  <c r="H46" i="27"/>
  <c r="I46" i="27"/>
  <c r="J46" i="27"/>
  <c r="K46" i="27"/>
  <c r="L46" i="27"/>
  <c r="L51" i="27" s="1"/>
  <c r="M46" i="27"/>
  <c r="O46" i="27"/>
  <c r="O51" i="27" s="1"/>
  <c r="P46" i="27"/>
  <c r="E47" i="27"/>
  <c r="F47" i="27"/>
  <c r="G47" i="27"/>
  <c r="G51" i="27" s="1"/>
  <c r="H47" i="27"/>
  <c r="I47" i="27"/>
  <c r="J47" i="27"/>
  <c r="J51" i="27" s="1"/>
  <c r="K47" i="27"/>
  <c r="L47" i="27"/>
  <c r="M47" i="27"/>
  <c r="O47" i="27"/>
  <c r="P47" i="27"/>
  <c r="E48" i="27"/>
  <c r="F48" i="27"/>
  <c r="G48" i="27"/>
  <c r="H48" i="27"/>
  <c r="I48" i="27"/>
  <c r="J48" i="27"/>
  <c r="K48" i="27"/>
  <c r="L48" i="27"/>
  <c r="M48" i="27"/>
  <c r="M51" i="27" s="1"/>
  <c r="O48" i="27"/>
  <c r="P48" i="27"/>
  <c r="E49" i="27"/>
  <c r="F49" i="27"/>
  <c r="G49" i="27"/>
  <c r="H49" i="27"/>
  <c r="I49" i="27"/>
  <c r="J49" i="27"/>
  <c r="K49" i="27"/>
  <c r="L49" i="27"/>
  <c r="M49" i="27"/>
  <c r="O49" i="27"/>
  <c r="P49" i="27"/>
  <c r="E50" i="27"/>
  <c r="F50" i="27"/>
  <c r="G50" i="27"/>
  <c r="H50" i="27"/>
  <c r="I50" i="27"/>
  <c r="I51" i="27" s="1"/>
  <c r="J50" i="27"/>
  <c r="K50" i="27"/>
  <c r="L50" i="27"/>
  <c r="M50" i="27"/>
  <c r="O50" i="27"/>
  <c r="P50" i="27"/>
  <c r="F51" i="27"/>
  <c r="N51" i="27"/>
  <c r="R51" i="27"/>
  <c r="D55" i="27"/>
  <c r="P55" i="27"/>
  <c r="E59" i="27"/>
  <c r="F59" i="27"/>
  <c r="G59" i="27"/>
  <c r="H59" i="27"/>
  <c r="I59" i="27"/>
  <c r="J59" i="27"/>
  <c r="K59" i="27"/>
  <c r="L59" i="27"/>
  <c r="M59" i="27"/>
  <c r="O59" i="27"/>
  <c r="P59" i="27"/>
  <c r="E8" i="26"/>
  <c r="E8" i="27" s="1"/>
  <c r="E10" i="27" s="1"/>
  <c r="F8" i="26"/>
  <c r="G8" i="26"/>
  <c r="H8" i="26"/>
  <c r="I8" i="26"/>
  <c r="I8" i="27" s="1"/>
  <c r="J8" i="26"/>
  <c r="J8" i="29" s="1"/>
  <c r="K8" i="26"/>
  <c r="K10" i="26" s="1"/>
  <c r="L8" i="26"/>
  <c r="L8" i="27" s="1"/>
  <c r="L10" i="27" s="1"/>
  <c r="M8" i="26"/>
  <c r="M8" i="27" s="1"/>
  <c r="M10" i="27" s="1"/>
  <c r="N8" i="26"/>
  <c r="N10" i="26" s="1"/>
  <c r="O8" i="26"/>
  <c r="O8" i="27" s="1"/>
  <c r="P8" i="26"/>
  <c r="R8" i="26"/>
  <c r="R8" i="27" s="1"/>
  <c r="R10" i="27" s="1"/>
  <c r="E9" i="26"/>
  <c r="F9" i="26"/>
  <c r="F9" i="27" s="1"/>
  <c r="G9" i="26"/>
  <c r="G9" i="27" s="1"/>
  <c r="H9" i="26"/>
  <c r="I9" i="26"/>
  <c r="J9" i="26"/>
  <c r="J9" i="27" s="1"/>
  <c r="K9" i="26"/>
  <c r="K9" i="29" s="1"/>
  <c r="L9" i="26"/>
  <c r="L9" i="27" s="1"/>
  <c r="M9" i="26"/>
  <c r="N9" i="26"/>
  <c r="O9" i="26"/>
  <c r="D9" i="26" s="1"/>
  <c r="B9" i="26" s="1"/>
  <c r="P9" i="26"/>
  <c r="P9" i="27" s="1"/>
  <c r="R9" i="26"/>
  <c r="G10" i="26"/>
  <c r="G19" i="26" s="1"/>
  <c r="H10" i="26"/>
  <c r="H19" i="26" s="1"/>
  <c r="H33" i="26" s="1"/>
  <c r="H52" i="26" s="1"/>
  <c r="H56" i="26" s="1"/>
  <c r="H60" i="26" s="1"/>
  <c r="J10" i="26"/>
  <c r="L10" i="26"/>
  <c r="E12" i="26"/>
  <c r="E12" i="27" s="1"/>
  <c r="F12" i="26"/>
  <c r="F12" i="29" s="1"/>
  <c r="G12" i="26"/>
  <c r="G12" i="27" s="1"/>
  <c r="H12" i="26"/>
  <c r="H12" i="27" s="1"/>
  <c r="I12" i="26"/>
  <c r="I12" i="27" s="1"/>
  <c r="J12" i="26"/>
  <c r="K12" i="26"/>
  <c r="K12" i="27" s="1"/>
  <c r="L12" i="26"/>
  <c r="L12" i="29" s="1"/>
  <c r="M12" i="26"/>
  <c r="N12" i="26" s="1"/>
  <c r="O12" i="26"/>
  <c r="P12" i="26"/>
  <c r="R12" i="26"/>
  <c r="R12" i="27" s="1"/>
  <c r="E13" i="26"/>
  <c r="E13" i="29" s="1"/>
  <c r="F13" i="26"/>
  <c r="F13" i="27" s="1"/>
  <c r="G13" i="26"/>
  <c r="G13" i="29" s="1"/>
  <c r="H13" i="26"/>
  <c r="H13" i="27" s="1"/>
  <c r="I13" i="26"/>
  <c r="J13" i="26"/>
  <c r="D13" i="26" s="1"/>
  <c r="B13" i="26" s="1"/>
  <c r="K13" i="26"/>
  <c r="K13" i="27" s="1"/>
  <c r="L13" i="26"/>
  <c r="M13" i="26"/>
  <c r="M13" i="29" s="1"/>
  <c r="O13" i="26"/>
  <c r="O13" i="29" s="1"/>
  <c r="P13" i="26"/>
  <c r="R13" i="26"/>
  <c r="R13" i="27" s="1"/>
  <c r="E14" i="26"/>
  <c r="F14" i="26"/>
  <c r="F14" i="29" s="1"/>
  <c r="G14" i="26"/>
  <c r="G14" i="27" s="1"/>
  <c r="H14" i="26"/>
  <c r="H14" i="29" s="1"/>
  <c r="I14" i="26"/>
  <c r="J14" i="26"/>
  <c r="J14" i="27" s="1"/>
  <c r="K14" i="26"/>
  <c r="K14" i="27" s="1"/>
  <c r="L14" i="26"/>
  <c r="L14" i="27" s="1"/>
  <c r="M14" i="26"/>
  <c r="M14" i="27" s="1"/>
  <c r="N14" i="27" s="1"/>
  <c r="N14" i="26"/>
  <c r="B15" i="26"/>
  <c r="D15" i="26"/>
  <c r="N15" i="26"/>
  <c r="E16" i="26"/>
  <c r="E16" i="27" s="1"/>
  <c r="F16" i="26"/>
  <c r="G16" i="26"/>
  <c r="H16" i="26"/>
  <c r="H16" i="29" s="1"/>
  <c r="I16" i="26"/>
  <c r="J16" i="26"/>
  <c r="J16" i="29" s="1"/>
  <c r="K16" i="26"/>
  <c r="K16" i="27" s="1"/>
  <c r="L16" i="26"/>
  <c r="L16" i="27" s="1"/>
  <c r="M16" i="26"/>
  <c r="M16" i="27" s="1"/>
  <c r="N16" i="27" s="1"/>
  <c r="N16" i="26"/>
  <c r="O16" i="26"/>
  <c r="O16" i="27" s="1"/>
  <c r="P16" i="26"/>
  <c r="P16" i="29" s="1"/>
  <c r="R16" i="26"/>
  <c r="R16" i="27" s="1"/>
  <c r="D17" i="26"/>
  <c r="B17" i="26" s="1"/>
  <c r="N17" i="26"/>
  <c r="R17" i="26"/>
  <c r="R17" i="29" s="1"/>
  <c r="E18" i="26"/>
  <c r="D18" i="26" s="1"/>
  <c r="B18" i="26" s="1"/>
  <c r="F18" i="26"/>
  <c r="F18" i="27" s="1"/>
  <c r="N18" i="26"/>
  <c r="R18" i="26"/>
  <c r="R18" i="27" s="1"/>
  <c r="D22" i="26"/>
  <c r="R22" i="26"/>
  <c r="R22" i="27" s="1"/>
  <c r="B23" i="26"/>
  <c r="D23" i="26"/>
  <c r="N23" i="26"/>
  <c r="R23" i="26"/>
  <c r="D24" i="26"/>
  <c r="B24" i="26" s="1"/>
  <c r="N24" i="26"/>
  <c r="R24" i="26"/>
  <c r="R24" i="27" s="1"/>
  <c r="B25" i="26"/>
  <c r="D25" i="26"/>
  <c r="N25" i="26"/>
  <c r="R25" i="26"/>
  <c r="R25" i="27" s="1"/>
  <c r="D26" i="26"/>
  <c r="B26" i="26" s="1"/>
  <c r="N26" i="26"/>
  <c r="R26" i="26"/>
  <c r="B27" i="26"/>
  <c r="D27" i="26"/>
  <c r="N27" i="26"/>
  <c r="D28" i="26"/>
  <c r="N28" i="26"/>
  <c r="R28" i="26"/>
  <c r="B28" i="26" s="1"/>
  <c r="D29" i="26"/>
  <c r="B29" i="26" s="1"/>
  <c r="N29" i="26"/>
  <c r="D30" i="26"/>
  <c r="N30" i="26"/>
  <c r="R30" i="26"/>
  <c r="E31" i="26"/>
  <c r="F31" i="26"/>
  <c r="G31" i="26"/>
  <c r="H31" i="26"/>
  <c r="I31" i="26"/>
  <c r="J31" i="26"/>
  <c r="K31" i="26"/>
  <c r="L31" i="26"/>
  <c r="M31" i="26"/>
  <c r="O31" i="26"/>
  <c r="P31" i="26"/>
  <c r="D36" i="26"/>
  <c r="B36" i="26" s="1"/>
  <c r="B37" i="26"/>
  <c r="D37" i="26"/>
  <c r="E38" i="26"/>
  <c r="F38" i="26"/>
  <c r="F38" i="27" s="1"/>
  <c r="D39" i="26"/>
  <c r="R39" i="26"/>
  <c r="D40" i="26"/>
  <c r="B40" i="26" s="1"/>
  <c r="D41" i="26"/>
  <c r="B41" i="26" s="1"/>
  <c r="C42" i="26"/>
  <c r="E42" i="26"/>
  <c r="G42" i="26"/>
  <c r="H42" i="26"/>
  <c r="I42" i="26"/>
  <c r="J42" i="26"/>
  <c r="K42" i="26"/>
  <c r="L42" i="26"/>
  <c r="M42" i="26"/>
  <c r="O42" i="26"/>
  <c r="P42" i="26"/>
  <c r="B45" i="26"/>
  <c r="D45" i="26"/>
  <c r="D46" i="26"/>
  <c r="B46" i="26" s="1"/>
  <c r="B47" i="26"/>
  <c r="D47" i="26"/>
  <c r="B48" i="26"/>
  <c r="D48" i="26"/>
  <c r="B49" i="26"/>
  <c r="D49" i="26"/>
  <c r="D50" i="26"/>
  <c r="E50" i="26"/>
  <c r="F50" i="26"/>
  <c r="G50" i="26"/>
  <c r="H50" i="26"/>
  <c r="I50" i="26"/>
  <c r="J50" i="26"/>
  <c r="K50" i="26"/>
  <c r="L50" i="26"/>
  <c r="M50" i="26"/>
  <c r="O50" i="26"/>
  <c r="P50" i="26"/>
  <c r="R50" i="26"/>
  <c r="D54" i="26"/>
  <c r="B54" i="26" s="1"/>
  <c r="R54" i="26"/>
  <c r="R55" i="27" s="1"/>
  <c r="B58" i="26"/>
  <c r="D58" i="26"/>
  <c r="E8" i="31"/>
  <c r="J8" i="31"/>
  <c r="M8" i="31"/>
  <c r="O8" i="31"/>
  <c r="E9" i="31"/>
  <c r="K9" i="31"/>
  <c r="E12" i="31"/>
  <c r="K12" i="31"/>
  <c r="M12" i="31"/>
  <c r="R12" i="31"/>
  <c r="F13" i="31"/>
  <c r="L13" i="31"/>
  <c r="G14" i="31"/>
  <c r="M14" i="31"/>
  <c r="O14" i="31"/>
  <c r="E15" i="31"/>
  <c r="F15" i="31"/>
  <c r="G15" i="31"/>
  <c r="H15" i="31"/>
  <c r="I15" i="31"/>
  <c r="J15" i="31"/>
  <c r="K15" i="31"/>
  <c r="L15" i="31"/>
  <c r="D15" i="31" s="1"/>
  <c r="B15" i="31" s="1"/>
  <c r="M15" i="31"/>
  <c r="O15" i="31"/>
  <c r="P15" i="31"/>
  <c r="R15" i="31"/>
  <c r="G16" i="31"/>
  <c r="L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G18" i="31"/>
  <c r="H18" i="31"/>
  <c r="I18" i="31"/>
  <c r="J18" i="31"/>
  <c r="K18" i="31"/>
  <c r="L18" i="31"/>
  <c r="N18" i="31" s="1"/>
  <c r="M18" i="31"/>
  <c r="O18" i="31"/>
  <c r="P18" i="31"/>
  <c r="E22" i="31"/>
  <c r="F22" i="31"/>
  <c r="G22" i="31"/>
  <c r="H22" i="31"/>
  <c r="I22" i="31"/>
  <c r="J22" i="31"/>
  <c r="K22" i="31"/>
  <c r="K31" i="31" s="1"/>
  <c r="L22" i="31"/>
  <c r="M22" i="31"/>
  <c r="N22" i="31" s="1"/>
  <c r="O22" i="31"/>
  <c r="P22" i="31"/>
  <c r="R22" i="31"/>
  <c r="E23" i="31"/>
  <c r="F23" i="31"/>
  <c r="G23" i="31"/>
  <c r="H23" i="31"/>
  <c r="I23" i="31"/>
  <c r="J23" i="31"/>
  <c r="J31" i="31" s="1"/>
  <c r="K23" i="31"/>
  <c r="L23" i="31"/>
  <c r="N23" i="31" s="1"/>
  <c r="M23" i="31"/>
  <c r="O23" i="31"/>
  <c r="P23" i="31"/>
  <c r="E24" i="31"/>
  <c r="F24" i="31"/>
  <c r="G24" i="31"/>
  <c r="H24" i="31"/>
  <c r="I24" i="31"/>
  <c r="J24" i="31"/>
  <c r="K24" i="31"/>
  <c r="L24" i="31"/>
  <c r="M24" i="31"/>
  <c r="N24" i="31" s="1"/>
  <c r="O24" i="31"/>
  <c r="P24" i="31"/>
  <c r="R24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D25" i="31" s="1"/>
  <c r="B25" i="31" s="1"/>
  <c r="R25" i="31"/>
  <c r="E26" i="31"/>
  <c r="F26" i="31"/>
  <c r="G26" i="31"/>
  <c r="H26" i="31"/>
  <c r="I26" i="31"/>
  <c r="J26" i="31"/>
  <c r="K26" i="31"/>
  <c r="L26" i="31"/>
  <c r="M26" i="31"/>
  <c r="N26" i="31" s="1"/>
  <c r="O26" i="31"/>
  <c r="P26" i="31"/>
  <c r="R26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E28" i="31"/>
  <c r="F28" i="31"/>
  <c r="G28" i="31"/>
  <c r="H28" i="31"/>
  <c r="I28" i="31"/>
  <c r="J28" i="31"/>
  <c r="K28" i="31"/>
  <c r="L28" i="31"/>
  <c r="M28" i="31"/>
  <c r="N28" i="31"/>
  <c r="O28" i="31"/>
  <c r="D28" i="31" s="1"/>
  <c r="B28" i="31" s="1"/>
  <c r="P28" i="31"/>
  <c r="R28" i="31"/>
  <c r="E29" i="31"/>
  <c r="F29" i="31"/>
  <c r="G29" i="31"/>
  <c r="H29" i="31"/>
  <c r="I29" i="31"/>
  <c r="J29" i="31"/>
  <c r="K29" i="31"/>
  <c r="L29" i="31"/>
  <c r="M29" i="31"/>
  <c r="N29" i="31" s="1"/>
  <c r="O29" i="31"/>
  <c r="D29" i="31" s="1"/>
  <c r="B29" i="31" s="1"/>
  <c r="P29" i="31"/>
  <c r="E30" i="31"/>
  <c r="F30" i="31"/>
  <c r="G30" i="31"/>
  <c r="H30" i="31"/>
  <c r="I30" i="31"/>
  <c r="J30" i="31"/>
  <c r="K30" i="31"/>
  <c r="L30" i="31"/>
  <c r="M30" i="31"/>
  <c r="O30" i="31"/>
  <c r="P30" i="31"/>
  <c r="R30" i="31"/>
  <c r="F31" i="31"/>
  <c r="O31" i="31"/>
  <c r="E36" i="31"/>
  <c r="F36" i="31"/>
  <c r="G36" i="31"/>
  <c r="H36" i="31"/>
  <c r="I36" i="31"/>
  <c r="J36" i="31"/>
  <c r="K36" i="31"/>
  <c r="L36" i="31"/>
  <c r="M36" i="31"/>
  <c r="O36" i="31"/>
  <c r="P36" i="31"/>
  <c r="E37" i="31"/>
  <c r="F37" i="31"/>
  <c r="G37" i="31"/>
  <c r="H37" i="31"/>
  <c r="I37" i="31"/>
  <c r="J37" i="31"/>
  <c r="K37" i="31"/>
  <c r="L37" i="31"/>
  <c r="L42" i="31" s="1"/>
  <c r="M37" i="31"/>
  <c r="O37" i="31"/>
  <c r="P37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E39" i="31"/>
  <c r="F39" i="31"/>
  <c r="G39" i="31"/>
  <c r="H39" i="31"/>
  <c r="I39" i="31"/>
  <c r="J39" i="31"/>
  <c r="K39" i="31"/>
  <c r="L39" i="31"/>
  <c r="M39" i="31"/>
  <c r="N39" i="31" s="1"/>
  <c r="O39" i="31"/>
  <c r="P39" i="31"/>
  <c r="R39" i="31"/>
  <c r="E40" i="31"/>
  <c r="F40" i="31"/>
  <c r="G40" i="31"/>
  <c r="H40" i="31"/>
  <c r="I40" i="31"/>
  <c r="J40" i="31"/>
  <c r="J42" i="31" s="1"/>
  <c r="K40" i="31"/>
  <c r="L40" i="31"/>
  <c r="N40" i="31" s="1"/>
  <c r="M40" i="31"/>
  <c r="O40" i="31"/>
  <c r="P40" i="31"/>
  <c r="R40" i="31"/>
  <c r="E41" i="31"/>
  <c r="F41" i="31"/>
  <c r="G41" i="31"/>
  <c r="H41" i="31"/>
  <c r="I41" i="31"/>
  <c r="J41" i="31"/>
  <c r="K41" i="31"/>
  <c r="L41" i="31"/>
  <c r="M41" i="31"/>
  <c r="O41" i="31"/>
  <c r="P41" i="31"/>
  <c r="C42" i="31"/>
  <c r="E42" i="31"/>
  <c r="H42" i="31"/>
  <c r="R42" i="31"/>
  <c r="E45" i="31"/>
  <c r="F45" i="31"/>
  <c r="G45" i="31"/>
  <c r="H45" i="31"/>
  <c r="I45" i="31"/>
  <c r="J45" i="31"/>
  <c r="K45" i="31"/>
  <c r="K50" i="31" s="1"/>
  <c r="L45" i="31"/>
  <c r="M45" i="31"/>
  <c r="M50" i="31" s="1"/>
  <c r="O45" i="31"/>
  <c r="P45" i="31"/>
  <c r="P50" i="31" s="1"/>
  <c r="E46" i="31"/>
  <c r="F46" i="31"/>
  <c r="F50" i="31" s="1"/>
  <c r="G46" i="31"/>
  <c r="H46" i="31"/>
  <c r="H50" i="31" s="1"/>
  <c r="I46" i="31"/>
  <c r="J46" i="31"/>
  <c r="K46" i="31"/>
  <c r="L46" i="31"/>
  <c r="D46" i="31" s="1"/>
  <c r="B46" i="31" s="1"/>
  <c r="M46" i="31"/>
  <c r="O46" i="31"/>
  <c r="P46" i="31"/>
  <c r="E47" i="31"/>
  <c r="F47" i="31"/>
  <c r="G47" i="31"/>
  <c r="H47" i="31"/>
  <c r="I47" i="31"/>
  <c r="I50" i="31" s="1"/>
  <c r="J47" i="31"/>
  <c r="K47" i="31"/>
  <c r="L47" i="31"/>
  <c r="M47" i="31"/>
  <c r="O47" i="31"/>
  <c r="P47" i="31"/>
  <c r="E48" i="31"/>
  <c r="F48" i="31"/>
  <c r="G48" i="31"/>
  <c r="H48" i="31"/>
  <c r="I48" i="31"/>
  <c r="J48" i="31"/>
  <c r="K48" i="31"/>
  <c r="L48" i="31"/>
  <c r="D48" i="31" s="1"/>
  <c r="B48" i="31" s="1"/>
  <c r="M48" i="31"/>
  <c r="O48" i="31"/>
  <c r="P48" i="31"/>
  <c r="E49" i="31"/>
  <c r="F49" i="31"/>
  <c r="G49" i="31"/>
  <c r="H49" i="31"/>
  <c r="I49" i="31"/>
  <c r="J49" i="31"/>
  <c r="K49" i="31"/>
  <c r="L49" i="31"/>
  <c r="M49" i="31"/>
  <c r="O49" i="31"/>
  <c r="P49" i="31"/>
  <c r="E50" i="31"/>
  <c r="J50" i="31"/>
  <c r="N50" i="31"/>
  <c r="R50" i="31"/>
  <c r="D54" i="31"/>
  <c r="P54" i="31"/>
  <c r="E58" i="31"/>
  <c r="D58" i="31" s="1"/>
  <c r="B58" i="31" s="1"/>
  <c r="F58" i="31"/>
  <c r="G58" i="31"/>
  <c r="H58" i="31"/>
  <c r="I58" i="31"/>
  <c r="J58" i="31"/>
  <c r="K58" i="31"/>
  <c r="L58" i="31"/>
  <c r="M58" i="31"/>
  <c r="O58" i="31"/>
  <c r="P58" i="31"/>
  <c r="E8" i="30"/>
  <c r="F8" i="30"/>
  <c r="G8" i="30"/>
  <c r="G8" i="33" s="1"/>
  <c r="H8" i="30"/>
  <c r="H8" i="31" s="1"/>
  <c r="I8" i="30"/>
  <c r="I8" i="31" s="1"/>
  <c r="I10" i="31" s="1"/>
  <c r="J8" i="30"/>
  <c r="K8" i="30"/>
  <c r="K8" i="31" s="1"/>
  <c r="K10" i="31" s="1"/>
  <c r="L8" i="30"/>
  <c r="M8" i="30"/>
  <c r="M8" i="33" s="1"/>
  <c r="N8" i="30"/>
  <c r="N10" i="30" s="1"/>
  <c r="O8" i="30"/>
  <c r="P8" i="30"/>
  <c r="R8" i="30"/>
  <c r="R8" i="31" s="1"/>
  <c r="R10" i="31" s="1"/>
  <c r="E9" i="30"/>
  <c r="E10" i="30" s="1"/>
  <c r="F9" i="30"/>
  <c r="G9" i="30"/>
  <c r="G9" i="31" s="1"/>
  <c r="H9" i="30"/>
  <c r="I9" i="30"/>
  <c r="I9" i="31" s="1"/>
  <c r="J9" i="30"/>
  <c r="J9" i="31" s="1"/>
  <c r="J10" i="31" s="1"/>
  <c r="K9" i="30"/>
  <c r="L9" i="30"/>
  <c r="L9" i="31" s="1"/>
  <c r="M9" i="30"/>
  <c r="M10" i="30" s="1"/>
  <c r="N9" i="30"/>
  <c r="O9" i="30"/>
  <c r="O9" i="31" s="1"/>
  <c r="P9" i="30"/>
  <c r="R9" i="30"/>
  <c r="G10" i="30"/>
  <c r="G19" i="30" s="1"/>
  <c r="G33" i="30" s="1"/>
  <c r="H10" i="30"/>
  <c r="H19" i="30" s="1"/>
  <c r="H33" i="30" s="1"/>
  <c r="H52" i="30" s="1"/>
  <c r="H56" i="30" s="1"/>
  <c r="H60" i="30" s="1"/>
  <c r="J10" i="30"/>
  <c r="O10" i="30"/>
  <c r="R10" i="30"/>
  <c r="E12" i="30"/>
  <c r="E12" i="33" s="1"/>
  <c r="F12" i="30"/>
  <c r="F12" i="31" s="1"/>
  <c r="G12" i="30"/>
  <c r="G12" i="31" s="1"/>
  <c r="H12" i="30"/>
  <c r="H12" i="33" s="1"/>
  <c r="I12" i="30"/>
  <c r="I12" i="31" s="1"/>
  <c r="J12" i="30"/>
  <c r="J12" i="31" s="1"/>
  <c r="K12" i="30"/>
  <c r="L12" i="30"/>
  <c r="L12" i="31" s="1"/>
  <c r="M12" i="30"/>
  <c r="N12" i="30"/>
  <c r="O12" i="30"/>
  <c r="O12" i="31" s="1"/>
  <c r="P12" i="30"/>
  <c r="P12" i="31" s="1"/>
  <c r="R12" i="30"/>
  <c r="R12" i="33" s="1"/>
  <c r="E13" i="30"/>
  <c r="E13" i="31" s="1"/>
  <c r="F13" i="30"/>
  <c r="G13" i="30"/>
  <c r="G13" i="31" s="1"/>
  <c r="H13" i="30"/>
  <c r="H13" i="31" s="1"/>
  <c r="I13" i="30"/>
  <c r="I13" i="33" s="1"/>
  <c r="J13" i="30"/>
  <c r="J13" i="31" s="1"/>
  <c r="K13" i="30"/>
  <c r="K13" i="31" s="1"/>
  <c r="L13" i="30"/>
  <c r="M13" i="30"/>
  <c r="M13" i="31" s="1"/>
  <c r="N13" i="31" s="1"/>
  <c r="N13" i="30"/>
  <c r="O13" i="30"/>
  <c r="O13" i="31" s="1"/>
  <c r="P13" i="30"/>
  <c r="P13" i="31" s="1"/>
  <c r="R13" i="30"/>
  <c r="R13" i="33" s="1"/>
  <c r="E14" i="30"/>
  <c r="E14" i="31" s="1"/>
  <c r="F14" i="30"/>
  <c r="G14" i="30"/>
  <c r="H14" i="30"/>
  <c r="H14" i="31" s="1"/>
  <c r="I14" i="30"/>
  <c r="I14" i="31" s="1"/>
  <c r="J14" i="30"/>
  <c r="J14" i="31" s="1"/>
  <c r="K14" i="30"/>
  <c r="K14" i="31" s="1"/>
  <c r="L14" i="30"/>
  <c r="L14" i="31" s="1"/>
  <c r="M14" i="30"/>
  <c r="M14" i="33" s="1"/>
  <c r="N14" i="30"/>
  <c r="O14" i="30"/>
  <c r="O14" i="33" s="1"/>
  <c r="P14" i="30"/>
  <c r="P14" i="31" s="1"/>
  <c r="R14" i="30"/>
  <c r="R14" i="31" s="1"/>
  <c r="D15" i="30"/>
  <c r="B15" i="30" s="1"/>
  <c r="E16" i="30"/>
  <c r="E16" i="31" s="1"/>
  <c r="F16" i="30"/>
  <c r="F16" i="31" s="1"/>
  <c r="G16" i="30"/>
  <c r="H16" i="30"/>
  <c r="H16" i="31" s="1"/>
  <c r="I16" i="30"/>
  <c r="I16" i="31" s="1"/>
  <c r="J16" i="30"/>
  <c r="J16" i="31" s="1"/>
  <c r="K16" i="30"/>
  <c r="K16" i="31" s="1"/>
  <c r="L16" i="30"/>
  <c r="M16" i="30"/>
  <c r="M16" i="31" s="1"/>
  <c r="N16" i="31" s="1"/>
  <c r="N16" i="30"/>
  <c r="O16" i="30"/>
  <c r="O16" i="31" s="1"/>
  <c r="P16" i="30"/>
  <c r="P16" i="31" s="1"/>
  <c r="R16" i="30"/>
  <c r="R16" i="33" s="1"/>
  <c r="D17" i="30"/>
  <c r="N17" i="30"/>
  <c r="R17" i="30"/>
  <c r="R17" i="31" s="1"/>
  <c r="E18" i="30"/>
  <c r="E18" i="31" s="1"/>
  <c r="F18" i="30"/>
  <c r="F18" i="31" s="1"/>
  <c r="N18" i="30"/>
  <c r="R18" i="30"/>
  <c r="R18" i="31" s="1"/>
  <c r="O19" i="30"/>
  <c r="B22" i="30"/>
  <c r="B31" i="30" s="1"/>
  <c r="D22" i="30"/>
  <c r="N22" i="30"/>
  <c r="R22" i="30"/>
  <c r="R22" i="33" s="1"/>
  <c r="D23" i="30"/>
  <c r="B23" i="30" s="1"/>
  <c r="N23" i="30"/>
  <c r="R23" i="30"/>
  <c r="R23" i="33" s="1"/>
  <c r="B24" i="30"/>
  <c r="D24" i="30"/>
  <c r="N24" i="30"/>
  <c r="R24" i="30"/>
  <c r="D25" i="30"/>
  <c r="B25" i="30" s="1"/>
  <c r="N25" i="30"/>
  <c r="R25" i="30"/>
  <c r="B26" i="30"/>
  <c r="D26" i="30"/>
  <c r="N26" i="30"/>
  <c r="R26" i="30"/>
  <c r="D27" i="30"/>
  <c r="B27" i="30" s="1"/>
  <c r="N27" i="30"/>
  <c r="R27" i="30"/>
  <c r="R27" i="33" s="1"/>
  <c r="B28" i="30"/>
  <c r="D28" i="30"/>
  <c r="N28" i="30"/>
  <c r="R28" i="30"/>
  <c r="D29" i="30"/>
  <c r="B29" i="30" s="1"/>
  <c r="N29" i="30"/>
  <c r="R29" i="30"/>
  <c r="R29" i="31" s="1"/>
  <c r="B30" i="30"/>
  <c r="D30" i="30"/>
  <c r="N30" i="30"/>
  <c r="R30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O33" i="30"/>
  <c r="O52" i="30" s="1"/>
  <c r="O56" i="30" s="1"/>
  <c r="O60" i="30" s="1"/>
  <c r="B36" i="30"/>
  <c r="D36" i="30"/>
  <c r="D37" i="30"/>
  <c r="D38" i="30"/>
  <c r="B38" i="30" s="1"/>
  <c r="E38" i="30"/>
  <c r="F38" i="30"/>
  <c r="F42" i="30" s="1"/>
  <c r="D39" i="30"/>
  <c r="R39" i="30"/>
  <c r="B39" i="30" s="1"/>
  <c r="B40" i="30"/>
  <c r="D40" i="30"/>
  <c r="B41" i="30"/>
  <c r="D41" i="30"/>
  <c r="C42" i="30"/>
  <c r="E42" i="30"/>
  <c r="G42" i="30"/>
  <c r="H42" i="30"/>
  <c r="I42" i="30"/>
  <c r="J42" i="30"/>
  <c r="K42" i="30"/>
  <c r="L42" i="30"/>
  <c r="M42" i="30"/>
  <c r="O42" i="30"/>
  <c r="P42" i="30"/>
  <c r="B45" i="30"/>
  <c r="B50" i="30" s="1"/>
  <c r="D45" i="30"/>
  <c r="B46" i="30"/>
  <c r="D46" i="30"/>
  <c r="D47" i="30"/>
  <c r="B47" i="30" s="1"/>
  <c r="B48" i="30"/>
  <c r="D48" i="30"/>
  <c r="B49" i="30"/>
  <c r="D49" i="30"/>
  <c r="E50" i="30"/>
  <c r="F50" i="30"/>
  <c r="G50" i="30"/>
  <c r="H50" i="30"/>
  <c r="I50" i="30"/>
  <c r="J50" i="30"/>
  <c r="K50" i="30"/>
  <c r="L50" i="30"/>
  <c r="M50" i="30"/>
  <c r="O50" i="30"/>
  <c r="P50" i="30"/>
  <c r="R50" i="30"/>
  <c r="D54" i="30"/>
  <c r="R54" i="30"/>
  <c r="R54" i="31" s="1"/>
  <c r="D58" i="30"/>
  <c r="B58" i="30" s="1"/>
  <c r="G8" i="38"/>
  <c r="I8" i="38"/>
  <c r="K8" i="38"/>
  <c r="L9" i="38"/>
  <c r="N9" i="38"/>
  <c r="G12" i="38"/>
  <c r="J12" i="38"/>
  <c r="L12" i="38"/>
  <c r="N12" i="38"/>
  <c r="E13" i="38"/>
  <c r="J13" i="38"/>
  <c r="H14" i="38"/>
  <c r="J14" i="38"/>
  <c r="P14" i="38"/>
  <c r="E15" i="38"/>
  <c r="F15" i="38"/>
  <c r="G15" i="38"/>
  <c r="H15" i="38"/>
  <c r="I15" i="38"/>
  <c r="J15" i="38"/>
  <c r="K15" i="38"/>
  <c r="L15" i="38"/>
  <c r="D15" i="38" s="1"/>
  <c r="B15" i="38" s="1"/>
  <c r="M15" i="38"/>
  <c r="N15" i="38"/>
  <c r="P15" i="38"/>
  <c r="E16" i="38"/>
  <c r="E17" i="38"/>
  <c r="F17" i="38"/>
  <c r="G17" i="38"/>
  <c r="H17" i="38"/>
  <c r="I17" i="38"/>
  <c r="J17" i="38"/>
  <c r="K17" i="38"/>
  <c r="L17" i="38"/>
  <c r="D17" i="38" s="1"/>
  <c r="B17" i="38" s="1"/>
  <c r="M17" i="38"/>
  <c r="N17" i="38"/>
  <c r="E18" i="38"/>
  <c r="G18" i="38"/>
  <c r="H18" i="38"/>
  <c r="I18" i="38"/>
  <c r="J18" i="38"/>
  <c r="K18" i="38"/>
  <c r="L18" i="38"/>
  <c r="M18" i="38"/>
  <c r="N18" i="38"/>
  <c r="E22" i="38"/>
  <c r="F22" i="38"/>
  <c r="G22" i="38"/>
  <c r="G31" i="38" s="1"/>
  <c r="H22" i="38"/>
  <c r="I22" i="38"/>
  <c r="I31" i="38" s="1"/>
  <c r="J22" i="38"/>
  <c r="K22" i="38"/>
  <c r="L22" i="38"/>
  <c r="M22" i="38"/>
  <c r="N22" i="38"/>
  <c r="P22" i="38"/>
  <c r="P31" i="38" s="1"/>
  <c r="E23" i="38"/>
  <c r="G23" i="38"/>
  <c r="H23" i="38"/>
  <c r="I23" i="38"/>
  <c r="J23" i="38"/>
  <c r="K23" i="38"/>
  <c r="L23" i="38"/>
  <c r="M23" i="38"/>
  <c r="M31" i="38" s="1"/>
  <c r="N23" i="38"/>
  <c r="P23" i="38"/>
  <c r="E24" i="38"/>
  <c r="F24" i="38"/>
  <c r="G24" i="38"/>
  <c r="H24" i="38"/>
  <c r="I24" i="38"/>
  <c r="J24" i="38"/>
  <c r="K24" i="38"/>
  <c r="L24" i="38"/>
  <c r="D24" i="38" s="1"/>
  <c r="B24" i="38" s="1"/>
  <c r="M24" i="38"/>
  <c r="N24" i="38"/>
  <c r="E25" i="38"/>
  <c r="F25" i="38"/>
  <c r="G25" i="38"/>
  <c r="H25" i="38"/>
  <c r="I25" i="38"/>
  <c r="J25" i="38"/>
  <c r="K25" i="38"/>
  <c r="L25" i="38"/>
  <c r="M25" i="38"/>
  <c r="N25" i="38"/>
  <c r="P25" i="38"/>
  <c r="E26" i="38"/>
  <c r="F26" i="38"/>
  <c r="G26" i="38"/>
  <c r="H26" i="38"/>
  <c r="I26" i="38"/>
  <c r="J26" i="38"/>
  <c r="K26" i="38"/>
  <c r="L26" i="38"/>
  <c r="D26" i="38" s="1"/>
  <c r="B26" i="38" s="1"/>
  <c r="M26" i="38"/>
  <c r="N26" i="38"/>
  <c r="E27" i="38"/>
  <c r="F27" i="38"/>
  <c r="G27" i="38"/>
  <c r="H27" i="38"/>
  <c r="I27" i="38"/>
  <c r="J27" i="38"/>
  <c r="K27" i="38"/>
  <c r="L27" i="38"/>
  <c r="M27" i="38"/>
  <c r="N27" i="38"/>
  <c r="E28" i="38"/>
  <c r="F28" i="38"/>
  <c r="G28" i="38"/>
  <c r="H28" i="38"/>
  <c r="I28" i="38"/>
  <c r="J28" i="38"/>
  <c r="K28" i="38"/>
  <c r="K31" i="38" s="1"/>
  <c r="L28" i="38"/>
  <c r="D28" i="38" s="1"/>
  <c r="B28" i="38" s="1"/>
  <c r="M28" i="38"/>
  <c r="N28" i="38"/>
  <c r="E29" i="38"/>
  <c r="F29" i="38"/>
  <c r="G29" i="38"/>
  <c r="H29" i="38"/>
  <c r="I29" i="38"/>
  <c r="J29" i="38"/>
  <c r="K29" i="38"/>
  <c r="L29" i="38"/>
  <c r="M29" i="38"/>
  <c r="N29" i="38"/>
  <c r="P29" i="38"/>
  <c r="E30" i="38"/>
  <c r="G30" i="38"/>
  <c r="H30" i="38"/>
  <c r="I30" i="38"/>
  <c r="J30" i="38"/>
  <c r="K30" i="38"/>
  <c r="L30" i="38"/>
  <c r="D30" i="38" s="1"/>
  <c r="B30" i="38" s="1"/>
  <c r="M30" i="38"/>
  <c r="N30" i="38"/>
  <c r="E31" i="38"/>
  <c r="L31" i="38"/>
  <c r="N31" i="38"/>
  <c r="E36" i="38"/>
  <c r="F36" i="38"/>
  <c r="G36" i="38"/>
  <c r="H36" i="38"/>
  <c r="I36" i="38"/>
  <c r="J36" i="38"/>
  <c r="J42" i="38" s="1"/>
  <c r="K36" i="38"/>
  <c r="L36" i="38"/>
  <c r="M36" i="38"/>
  <c r="N36" i="38"/>
  <c r="P36" i="38"/>
  <c r="E37" i="38"/>
  <c r="F37" i="38"/>
  <c r="G37" i="38"/>
  <c r="H37" i="38"/>
  <c r="I37" i="38"/>
  <c r="J37" i="38"/>
  <c r="K37" i="38"/>
  <c r="L37" i="38"/>
  <c r="M37" i="38"/>
  <c r="N37" i="38"/>
  <c r="N42" i="38" s="1"/>
  <c r="P37" i="38"/>
  <c r="E38" i="38"/>
  <c r="G38" i="38"/>
  <c r="H38" i="38"/>
  <c r="I38" i="38"/>
  <c r="J38" i="38"/>
  <c r="K38" i="38"/>
  <c r="K42" i="38" s="1"/>
  <c r="L38" i="38"/>
  <c r="M38" i="38"/>
  <c r="N38" i="38"/>
  <c r="P38" i="38"/>
  <c r="E39" i="38"/>
  <c r="F39" i="38"/>
  <c r="G39" i="38"/>
  <c r="H39" i="38"/>
  <c r="I39" i="38"/>
  <c r="J39" i="38"/>
  <c r="K39" i="38"/>
  <c r="L39" i="38"/>
  <c r="D39" i="38" s="1"/>
  <c r="B39" i="38" s="1"/>
  <c r="M39" i="38"/>
  <c r="N39" i="38"/>
  <c r="E40" i="38"/>
  <c r="F40" i="38"/>
  <c r="G40" i="38"/>
  <c r="H40" i="38"/>
  <c r="I40" i="38"/>
  <c r="J40" i="38"/>
  <c r="K40" i="38"/>
  <c r="L40" i="38"/>
  <c r="D40" i="38" s="1"/>
  <c r="B40" i="38" s="1"/>
  <c r="M40" i="38"/>
  <c r="N40" i="38"/>
  <c r="P40" i="38"/>
  <c r="F41" i="38"/>
  <c r="G41" i="38"/>
  <c r="H41" i="38"/>
  <c r="I41" i="38"/>
  <c r="J41" i="38"/>
  <c r="K41" i="38"/>
  <c r="L41" i="38"/>
  <c r="M41" i="38"/>
  <c r="N41" i="38"/>
  <c r="P41" i="38"/>
  <c r="C42" i="38"/>
  <c r="H42" i="38"/>
  <c r="L42" i="38"/>
  <c r="E45" i="38"/>
  <c r="F45" i="38"/>
  <c r="D45" i="38" s="1"/>
  <c r="B45" i="38" s="1"/>
  <c r="G45" i="38"/>
  <c r="H45" i="38"/>
  <c r="I45" i="38"/>
  <c r="J45" i="38"/>
  <c r="K45" i="38"/>
  <c r="L45" i="38"/>
  <c r="M45" i="38"/>
  <c r="N45" i="38"/>
  <c r="N50" i="38" s="1"/>
  <c r="P45" i="38"/>
  <c r="E46" i="38"/>
  <c r="F46" i="38"/>
  <c r="G46" i="38"/>
  <c r="H46" i="38"/>
  <c r="I46" i="38"/>
  <c r="J46" i="38"/>
  <c r="J50" i="38" s="1"/>
  <c r="K46" i="38"/>
  <c r="L46" i="38"/>
  <c r="M46" i="38"/>
  <c r="N46" i="38"/>
  <c r="P46" i="38"/>
  <c r="E47" i="38"/>
  <c r="D47" i="38" s="1"/>
  <c r="B47" i="38" s="1"/>
  <c r="F47" i="38"/>
  <c r="G47" i="38"/>
  <c r="H47" i="38"/>
  <c r="I47" i="38"/>
  <c r="J47" i="38"/>
  <c r="K47" i="38"/>
  <c r="L47" i="38"/>
  <c r="M47" i="38"/>
  <c r="M50" i="38" s="1"/>
  <c r="N47" i="38"/>
  <c r="P47" i="38"/>
  <c r="E48" i="38"/>
  <c r="F48" i="38"/>
  <c r="G48" i="38"/>
  <c r="H48" i="38"/>
  <c r="I48" i="38"/>
  <c r="J48" i="38"/>
  <c r="K48" i="38"/>
  <c r="L48" i="38"/>
  <c r="D48" i="38" s="1"/>
  <c r="B48" i="38" s="1"/>
  <c r="M48" i="38"/>
  <c r="N48" i="38"/>
  <c r="P48" i="38"/>
  <c r="E49" i="38"/>
  <c r="F49" i="38"/>
  <c r="G49" i="38"/>
  <c r="H49" i="38"/>
  <c r="I49" i="38"/>
  <c r="J49" i="38"/>
  <c r="K49" i="38"/>
  <c r="L49" i="38"/>
  <c r="M49" i="38"/>
  <c r="N49" i="38"/>
  <c r="P49" i="38"/>
  <c r="E50" i="38"/>
  <c r="H50" i="38"/>
  <c r="E54" i="38"/>
  <c r="F54" i="38"/>
  <c r="G54" i="38"/>
  <c r="H54" i="38"/>
  <c r="I54" i="38"/>
  <c r="J54" i="38"/>
  <c r="K54" i="38"/>
  <c r="L54" i="38"/>
  <c r="D54" i="38" s="1"/>
  <c r="B54" i="38" s="1"/>
  <c r="M54" i="38"/>
  <c r="N54" i="38"/>
  <c r="E58" i="38"/>
  <c r="F58" i="38"/>
  <c r="D58" i="38" s="1"/>
  <c r="B58" i="38" s="1"/>
  <c r="G58" i="38"/>
  <c r="H58" i="38"/>
  <c r="I58" i="38"/>
  <c r="J58" i="38"/>
  <c r="K58" i="38"/>
  <c r="L58" i="38"/>
  <c r="M58" i="38"/>
  <c r="N58" i="38"/>
  <c r="E8" i="39"/>
  <c r="E8" i="38" s="1"/>
  <c r="F8" i="39"/>
  <c r="F8" i="38" s="1"/>
  <c r="G8" i="39"/>
  <c r="H8" i="39"/>
  <c r="H8" i="38" s="1"/>
  <c r="H10" i="38" s="1"/>
  <c r="H19" i="38" s="1"/>
  <c r="I8" i="39"/>
  <c r="J8" i="39"/>
  <c r="J8" i="38" s="1"/>
  <c r="J10" i="38" s="1"/>
  <c r="K8" i="39"/>
  <c r="L8" i="39"/>
  <c r="M8" i="39"/>
  <c r="M8" i="38" s="1"/>
  <c r="N8" i="39"/>
  <c r="N8" i="38" s="1"/>
  <c r="P8" i="39"/>
  <c r="E9" i="39"/>
  <c r="E10" i="39" s="1"/>
  <c r="E19" i="39" s="1"/>
  <c r="E33" i="39" s="1"/>
  <c r="E52" i="39" s="1"/>
  <c r="E56" i="39" s="1"/>
  <c r="E60" i="39" s="1"/>
  <c r="F9" i="39"/>
  <c r="F9" i="38" s="1"/>
  <c r="G9" i="39"/>
  <c r="G9" i="38" s="1"/>
  <c r="H9" i="39"/>
  <c r="H9" i="38" s="1"/>
  <c r="I9" i="39"/>
  <c r="I10" i="39" s="1"/>
  <c r="I19" i="39" s="1"/>
  <c r="I33" i="39" s="1"/>
  <c r="I52" i="39" s="1"/>
  <c r="I56" i="39" s="1"/>
  <c r="I60" i="39" s="1"/>
  <c r="J9" i="39"/>
  <c r="J9" i="38" s="1"/>
  <c r="K9" i="39"/>
  <c r="L9" i="39"/>
  <c r="M9" i="39"/>
  <c r="M9" i="38" s="1"/>
  <c r="N9" i="39"/>
  <c r="P9" i="39"/>
  <c r="P9" i="38" s="1"/>
  <c r="F10" i="39"/>
  <c r="J10" i="39"/>
  <c r="N10" i="39"/>
  <c r="E12" i="39"/>
  <c r="E12" i="38" s="1"/>
  <c r="F12" i="39"/>
  <c r="F12" i="38" s="1"/>
  <c r="G12" i="39"/>
  <c r="H12" i="39"/>
  <c r="H12" i="38" s="1"/>
  <c r="I12" i="39"/>
  <c r="I12" i="38" s="1"/>
  <c r="J12" i="39"/>
  <c r="K12" i="39"/>
  <c r="K12" i="38" s="1"/>
  <c r="L12" i="39"/>
  <c r="M12" i="39"/>
  <c r="M12" i="38" s="1"/>
  <c r="D12" i="38" s="1"/>
  <c r="B12" i="38" s="1"/>
  <c r="N12" i="39"/>
  <c r="P12" i="39"/>
  <c r="P12" i="38" s="1"/>
  <c r="E13" i="39"/>
  <c r="F13" i="39"/>
  <c r="F13" i="38" s="1"/>
  <c r="G13" i="39"/>
  <c r="G13" i="38" s="1"/>
  <c r="H13" i="39"/>
  <c r="H13" i="38" s="1"/>
  <c r="I13" i="39"/>
  <c r="I13" i="38" s="1"/>
  <c r="J13" i="39"/>
  <c r="K13" i="39"/>
  <c r="K13" i="38" s="1"/>
  <c r="L13" i="39"/>
  <c r="L13" i="38" s="1"/>
  <c r="D13" i="38" s="1"/>
  <c r="B13" i="38" s="1"/>
  <c r="M13" i="39"/>
  <c r="M13" i="38" s="1"/>
  <c r="N13" i="39"/>
  <c r="N13" i="38" s="1"/>
  <c r="P13" i="39"/>
  <c r="P13" i="38" s="1"/>
  <c r="E14" i="39"/>
  <c r="E14" i="38" s="1"/>
  <c r="F14" i="39"/>
  <c r="F14" i="38" s="1"/>
  <c r="G14" i="39"/>
  <c r="G14" i="38" s="1"/>
  <c r="H14" i="39"/>
  <c r="I14" i="39"/>
  <c r="I14" i="38" s="1"/>
  <c r="J14" i="39"/>
  <c r="K14" i="39"/>
  <c r="K14" i="38" s="1"/>
  <c r="L14" i="39"/>
  <c r="L14" i="38" s="1"/>
  <c r="M14" i="39"/>
  <c r="M14" i="38" s="1"/>
  <c r="N14" i="39"/>
  <c r="N14" i="38" s="1"/>
  <c r="P14" i="39"/>
  <c r="D15" i="39"/>
  <c r="B15" i="39" s="1"/>
  <c r="E16" i="39"/>
  <c r="F16" i="39"/>
  <c r="F16" i="38" s="1"/>
  <c r="G16" i="39"/>
  <c r="G16" i="38" s="1"/>
  <c r="H16" i="39"/>
  <c r="H16" i="38" s="1"/>
  <c r="I16" i="39"/>
  <c r="I16" i="38" s="1"/>
  <c r="J16" i="39"/>
  <c r="J16" i="38" s="1"/>
  <c r="K16" i="39"/>
  <c r="L16" i="39"/>
  <c r="L16" i="38" s="1"/>
  <c r="M16" i="39"/>
  <c r="M16" i="38" s="1"/>
  <c r="N16" i="39"/>
  <c r="N16" i="38" s="1"/>
  <c r="P16" i="39"/>
  <c r="P16" i="38" s="1"/>
  <c r="B17" i="39"/>
  <c r="D17" i="39"/>
  <c r="P17" i="39"/>
  <c r="P17" i="38" s="1"/>
  <c r="E18" i="39"/>
  <c r="F18" i="39"/>
  <c r="F18" i="38" s="1"/>
  <c r="P18" i="39"/>
  <c r="P18" i="38" s="1"/>
  <c r="J19" i="39"/>
  <c r="J33" i="39" s="1"/>
  <c r="J52" i="39" s="1"/>
  <c r="J56" i="39" s="1"/>
  <c r="J60" i="39" s="1"/>
  <c r="D22" i="39"/>
  <c r="B22" i="39" s="1"/>
  <c r="P22" i="39"/>
  <c r="F23" i="39"/>
  <c r="P23" i="39"/>
  <c r="B24" i="39"/>
  <c r="D24" i="39"/>
  <c r="P24" i="39"/>
  <c r="P24" i="38" s="1"/>
  <c r="B25" i="39"/>
  <c r="D25" i="39"/>
  <c r="P25" i="39"/>
  <c r="D26" i="39"/>
  <c r="P26" i="39"/>
  <c r="P26" i="38" s="1"/>
  <c r="D27" i="39"/>
  <c r="B27" i="39" s="1"/>
  <c r="P27" i="39"/>
  <c r="P27" i="38" s="1"/>
  <c r="B28" i="39"/>
  <c r="D28" i="39"/>
  <c r="P28" i="39"/>
  <c r="P28" i="38" s="1"/>
  <c r="D29" i="39"/>
  <c r="B29" i="39" s="1"/>
  <c r="P29" i="39"/>
  <c r="D30" i="39"/>
  <c r="B30" i="39" s="1"/>
  <c r="F30" i="39"/>
  <c r="F30" i="38" s="1"/>
  <c r="N30" i="39"/>
  <c r="P30" i="39"/>
  <c r="P30" i="38" s="1"/>
  <c r="E31" i="39"/>
  <c r="F31" i="39"/>
  <c r="G31" i="39"/>
  <c r="H31" i="39"/>
  <c r="I31" i="39"/>
  <c r="J31" i="39"/>
  <c r="K31" i="39"/>
  <c r="L31" i="39"/>
  <c r="M31" i="39"/>
  <c r="N31" i="39"/>
  <c r="D36" i="39"/>
  <c r="B36" i="39" s="1"/>
  <c r="D37" i="39"/>
  <c r="B37" i="39" s="1"/>
  <c r="E38" i="39"/>
  <c r="F38" i="39"/>
  <c r="B39" i="39"/>
  <c r="D39" i="39"/>
  <c r="P39" i="39"/>
  <c r="P39" i="38" s="1"/>
  <c r="B40" i="39"/>
  <c r="D40" i="39"/>
  <c r="E41" i="39"/>
  <c r="C42" i="39"/>
  <c r="E42" i="39"/>
  <c r="G42" i="39"/>
  <c r="H42" i="39"/>
  <c r="I42" i="39"/>
  <c r="J42" i="39"/>
  <c r="K42" i="39"/>
  <c r="L42" i="39"/>
  <c r="M42" i="39"/>
  <c r="N42" i="39"/>
  <c r="D45" i="39"/>
  <c r="B45" i="39" s="1"/>
  <c r="D46" i="39"/>
  <c r="B46" i="39" s="1"/>
  <c r="D47" i="39"/>
  <c r="B47" i="39" s="1"/>
  <c r="D48" i="39"/>
  <c r="B48" i="39" s="1"/>
  <c r="P48" i="39"/>
  <c r="D49" i="39"/>
  <c r="B49" i="39" s="1"/>
  <c r="E50" i="39"/>
  <c r="F50" i="39"/>
  <c r="G50" i="39"/>
  <c r="H50" i="39"/>
  <c r="I50" i="39"/>
  <c r="J50" i="39"/>
  <c r="K50" i="39"/>
  <c r="L50" i="39"/>
  <c r="M50" i="39"/>
  <c r="N50" i="39"/>
  <c r="P50" i="39"/>
  <c r="B54" i="39"/>
  <c r="D54" i="39"/>
  <c r="P54" i="39"/>
  <c r="P54" i="38" s="1"/>
  <c r="D58" i="39"/>
  <c r="P58" i="39"/>
  <c r="P58" i="38" s="1"/>
  <c r="F42" i="38" l="1"/>
  <c r="B50" i="39"/>
  <c r="B31" i="39"/>
  <c r="D14" i="38"/>
  <c r="B14" i="38" s="1"/>
  <c r="L50" i="38"/>
  <c r="D46" i="38"/>
  <c r="B46" i="38" s="1"/>
  <c r="B50" i="38" s="1"/>
  <c r="D36" i="38"/>
  <c r="G10" i="38"/>
  <c r="G19" i="38" s="1"/>
  <c r="G33" i="38" s="1"/>
  <c r="D16" i="31"/>
  <c r="F14" i="31"/>
  <c r="F14" i="33"/>
  <c r="M19" i="30"/>
  <c r="M33" i="30" s="1"/>
  <c r="M52" i="30" s="1"/>
  <c r="E19" i="30"/>
  <c r="E33" i="30" s="1"/>
  <c r="E52" i="30" s="1"/>
  <c r="E56" i="30" s="1"/>
  <c r="E60" i="30" s="1"/>
  <c r="D38" i="31"/>
  <c r="B38" i="31" s="1"/>
  <c r="D37" i="31"/>
  <c r="B37" i="31" s="1"/>
  <c r="N30" i="31"/>
  <c r="L31" i="31"/>
  <c r="D30" i="31"/>
  <c r="B30" i="31" s="1"/>
  <c r="N15" i="31"/>
  <c r="L13" i="27"/>
  <c r="N13" i="26"/>
  <c r="O64" i="5"/>
  <c r="O67" i="5"/>
  <c r="B45" i="33"/>
  <c r="B58" i="39"/>
  <c r="D12" i="39"/>
  <c r="B12" i="39" s="1"/>
  <c r="J19" i="38"/>
  <c r="P50" i="38"/>
  <c r="G50" i="38"/>
  <c r="D29" i="38"/>
  <c r="B29" i="38" s="1"/>
  <c r="B54" i="31"/>
  <c r="J19" i="30"/>
  <c r="J33" i="30" s="1"/>
  <c r="J52" i="30" s="1"/>
  <c r="J56" i="30" s="1"/>
  <c r="J60" i="30" s="1"/>
  <c r="L50" i="31"/>
  <c r="P42" i="31"/>
  <c r="M31" i="31"/>
  <c r="D27" i="31"/>
  <c r="B27" i="31" s="1"/>
  <c r="H31" i="31"/>
  <c r="I31" i="31"/>
  <c r="N31" i="31"/>
  <c r="E31" i="31"/>
  <c r="D31" i="26"/>
  <c r="B22" i="26"/>
  <c r="B55" i="27"/>
  <c r="N19" i="39"/>
  <c r="N33" i="39" s="1"/>
  <c r="N52" i="39" s="1"/>
  <c r="N56" i="39" s="1"/>
  <c r="N60" i="39" s="1"/>
  <c r="P12" i="27"/>
  <c r="D12" i="26"/>
  <c r="B12" i="26" s="1"/>
  <c r="G52" i="30"/>
  <c r="G56" i="30" s="1"/>
  <c r="G60" i="30" s="1"/>
  <c r="J19" i="31"/>
  <c r="J33" i="31" s="1"/>
  <c r="J52" i="31" s="1"/>
  <c r="J56" i="31" s="1"/>
  <c r="J60" i="31" s="1"/>
  <c r="D40" i="31"/>
  <c r="B40" i="31" s="1"/>
  <c r="G31" i="31"/>
  <c r="R42" i="26"/>
  <c r="R39" i="27"/>
  <c r="R43" i="27" s="1"/>
  <c r="E14" i="27"/>
  <c r="D14" i="26"/>
  <c r="B14" i="26" s="1"/>
  <c r="H67" i="5"/>
  <c r="H64" i="5"/>
  <c r="B23" i="33"/>
  <c r="P31" i="39"/>
  <c r="D16" i="39"/>
  <c r="B16" i="39" s="1"/>
  <c r="M10" i="39"/>
  <c r="M19" i="39" s="1"/>
  <c r="M33" i="39" s="1"/>
  <c r="M52" i="39" s="1"/>
  <c r="M56" i="39" s="1"/>
  <c r="M60" i="39" s="1"/>
  <c r="D18" i="39"/>
  <c r="B18" i="39" s="1"/>
  <c r="P8" i="38"/>
  <c r="P10" i="38" s="1"/>
  <c r="P19" i="38" s="1"/>
  <c r="P33" i="38" s="1"/>
  <c r="P52" i="38" s="1"/>
  <c r="P56" i="38" s="1"/>
  <c r="P60" i="38" s="1"/>
  <c r="P10" i="39"/>
  <c r="P19" i="39" s="1"/>
  <c r="P33" i="39" s="1"/>
  <c r="P52" i="39" s="1"/>
  <c r="P56" i="39" s="1"/>
  <c r="P60" i="39" s="1"/>
  <c r="D25" i="38"/>
  <c r="B25" i="38" s="1"/>
  <c r="E9" i="38"/>
  <c r="E10" i="38" s="1"/>
  <c r="E19" i="38" s="1"/>
  <c r="E33" i="38" s="1"/>
  <c r="E52" i="38" s="1"/>
  <c r="E56" i="38" s="1"/>
  <c r="E60" i="38" s="1"/>
  <c r="N19" i="30"/>
  <c r="N33" i="30" s="1"/>
  <c r="F8" i="31"/>
  <c r="F10" i="30"/>
  <c r="F19" i="30" s="1"/>
  <c r="F33" i="30" s="1"/>
  <c r="F52" i="30" s="1"/>
  <c r="F56" i="30" s="1"/>
  <c r="F60" i="30" s="1"/>
  <c r="D47" i="31"/>
  <c r="B47" i="31" s="1"/>
  <c r="D41" i="31"/>
  <c r="B41" i="31" s="1"/>
  <c r="D23" i="31"/>
  <c r="B23" i="31" s="1"/>
  <c r="R22" i="5"/>
  <c r="R36" i="5" s="1"/>
  <c r="R57" i="5" s="1"/>
  <c r="R59" i="5" s="1"/>
  <c r="I14" i="34"/>
  <c r="I14" i="33"/>
  <c r="M56" i="32"/>
  <c r="M60" i="32" s="1"/>
  <c r="I19" i="32"/>
  <c r="I33" i="32" s="1"/>
  <c r="I52" i="32" s="1"/>
  <c r="I56" i="32" s="1"/>
  <c r="I60" i="32" s="1"/>
  <c r="D14" i="30"/>
  <c r="B14" i="30" s="1"/>
  <c r="H10" i="31"/>
  <c r="H19" i="31" s="1"/>
  <c r="H33" i="31" s="1"/>
  <c r="H52" i="31" s="1"/>
  <c r="H56" i="31" s="1"/>
  <c r="H60" i="31" s="1"/>
  <c r="K16" i="36"/>
  <c r="K19" i="37"/>
  <c r="K33" i="37" s="1"/>
  <c r="K52" i="37" s="1"/>
  <c r="K56" i="37" s="1"/>
  <c r="K60" i="37" s="1"/>
  <c r="F38" i="38"/>
  <c r="F42" i="39"/>
  <c r="D9" i="39"/>
  <c r="B9" i="39" s="1"/>
  <c r="D49" i="38"/>
  <c r="B49" i="38" s="1"/>
  <c r="D23" i="38"/>
  <c r="B23" i="38" s="1"/>
  <c r="D50" i="39"/>
  <c r="E41" i="38"/>
  <c r="D41" i="38" s="1"/>
  <c r="B41" i="38" s="1"/>
  <c r="D41" i="39"/>
  <c r="B41" i="39" s="1"/>
  <c r="K16" i="38"/>
  <c r="D16" i="38" s="1"/>
  <c r="B16" i="38" s="1"/>
  <c r="D13" i="39"/>
  <c r="B13" i="39" s="1"/>
  <c r="K10" i="39"/>
  <c r="K19" i="39" s="1"/>
  <c r="K33" i="39" s="1"/>
  <c r="K52" i="39" s="1"/>
  <c r="K56" i="39" s="1"/>
  <c r="K60" i="39" s="1"/>
  <c r="K9" i="38"/>
  <c r="K10" i="38" s="1"/>
  <c r="K19" i="38" s="1"/>
  <c r="K33" i="38" s="1"/>
  <c r="G10" i="39"/>
  <c r="G19" i="39" s="1"/>
  <c r="G33" i="39" s="1"/>
  <c r="G52" i="39" s="1"/>
  <c r="G56" i="39" s="1"/>
  <c r="G60" i="39" s="1"/>
  <c r="D38" i="39"/>
  <c r="B38" i="39" s="1"/>
  <c r="B42" i="39" s="1"/>
  <c r="B26" i="39"/>
  <c r="F23" i="38"/>
  <c r="F31" i="38" s="1"/>
  <c r="D23" i="39"/>
  <c r="B23" i="39" s="1"/>
  <c r="H10" i="39"/>
  <c r="H19" i="39" s="1"/>
  <c r="H33" i="39" s="1"/>
  <c r="H52" i="39" s="1"/>
  <c r="H56" i="39" s="1"/>
  <c r="H60" i="39" s="1"/>
  <c r="N10" i="38"/>
  <c r="N19" i="38" s="1"/>
  <c r="N33" i="38" s="1"/>
  <c r="N52" i="38" s="1"/>
  <c r="N56" i="38" s="1"/>
  <c r="N60" i="38" s="1"/>
  <c r="F10" i="38"/>
  <c r="F19" i="38" s="1"/>
  <c r="F33" i="38" s="1"/>
  <c r="K50" i="38"/>
  <c r="I42" i="38"/>
  <c r="D37" i="38"/>
  <c r="B37" i="38" s="1"/>
  <c r="P42" i="38"/>
  <c r="G42" i="38"/>
  <c r="D22" i="38"/>
  <c r="B17" i="30"/>
  <c r="D13" i="31"/>
  <c r="P9" i="33"/>
  <c r="D9" i="30"/>
  <c r="B9" i="30" s="1"/>
  <c r="P10" i="30"/>
  <c r="P19" i="30" s="1"/>
  <c r="P33" i="30" s="1"/>
  <c r="P52" i="30" s="1"/>
  <c r="P56" i="30" s="1"/>
  <c r="P60" i="30" s="1"/>
  <c r="P9" i="31"/>
  <c r="H9" i="33"/>
  <c r="H9" i="31"/>
  <c r="N41" i="31"/>
  <c r="M42" i="31"/>
  <c r="K42" i="31"/>
  <c r="E10" i="31"/>
  <c r="E19" i="31" s="1"/>
  <c r="F16" i="27"/>
  <c r="D16" i="26"/>
  <c r="B16" i="26" s="1"/>
  <c r="L19" i="26"/>
  <c r="L33" i="26" s="1"/>
  <c r="L52" i="26" s="1"/>
  <c r="L56" i="26" s="1"/>
  <c r="L60" i="26" s="1"/>
  <c r="D39" i="27"/>
  <c r="M43" i="27"/>
  <c r="S12" i="36"/>
  <c r="S12" i="34"/>
  <c r="J12" i="34"/>
  <c r="J19" i="35"/>
  <c r="J33" i="35" s="1"/>
  <c r="J52" i="35" s="1"/>
  <c r="J56" i="35" s="1"/>
  <c r="J60" i="35" s="1"/>
  <c r="D18" i="38"/>
  <c r="B18" i="38" s="1"/>
  <c r="F42" i="31"/>
  <c r="J64" i="5"/>
  <c r="J67" i="5"/>
  <c r="F19" i="39"/>
  <c r="F33" i="39" s="1"/>
  <c r="F52" i="39" s="1"/>
  <c r="F56" i="39" s="1"/>
  <c r="F60" i="39" s="1"/>
  <c r="M10" i="38"/>
  <c r="M19" i="38" s="1"/>
  <c r="M33" i="38" s="1"/>
  <c r="D12" i="30"/>
  <c r="B12" i="30" s="1"/>
  <c r="L10" i="30"/>
  <c r="L19" i="30" s="1"/>
  <c r="L33" i="30" s="1"/>
  <c r="L52" i="30" s="1"/>
  <c r="L56" i="30" s="1"/>
  <c r="L60" i="30" s="1"/>
  <c r="L8" i="31"/>
  <c r="L10" i="31" s="1"/>
  <c r="L19" i="31" s="1"/>
  <c r="L33" i="31" s="1"/>
  <c r="L52" i="31" s="1"/>
  <c r="L56" i="31" s="1"/>
  <c r="L60" i="31" s="1"/>
  <c r="D8" i="30"/>
  <c r="N37" i="31"/>
  <c r="N42" i="31" s="1"/>
  <c r="D18" i="31"/>
  <c r="B18" i="31" s="1"/>
  <c r="D38" i="38"/>
  <c r="B38" i="38" s="1"/>
  <c r="O10" i="31"/>
  <c r="O19" i="31" s="1"/>
  <c r="O33" i="31" s="1"/>
  <c r="J13" i="27"/>
  <c r="J19" i="27" s="1"/>
  <c r="J33" i="27" s="1"/>
  <c r="J53" i="27" s="1"/>
  <c r="J57" i="27" s="1"/>
  <c r="J61" i="27" s="1"/>
  <c r="J19" i="26"/>
  <c r="J33" i="26" s="1"/>
  <c r="J52" i="26" s="1"/>
  <c r="J56" i="26" s="1"/>
  <c r="J60" i="26" s="1"/>
  <c r="P42" i="39"/>
  <c r="L8" i="38"/>
  <c r="L10" i="39"/>
  <c r="L19" i="39" s="1"/>
  <c r="L33" i="39" s="1"/>
  <c r="L52" i="39" s="1"/>
  <c r="L56" i="39" s="1"/>
  <c r="L60" i="39" s="1"/>
  <c r="D8" i="39"/>
  <c r="F50" i="38"/>
  <c r="I50" i="38"/>
  <c r="M42" i="38"/>
  <c r="E42" i="38"/>
  <c r="J31" i="38"/>
  <c r="D42" i="30"/>
  <c r="B37" i="30"/>
  <c r="B42" i="30" s="1"/>
  <c r="R19" i="30"/>
  <c r="R33" i="30" s="1"/>
  <c r="R52" i="30" s="1"/>
  <c r="R56" i="30" s="1"/>
  <c r="R60" i="30" s="1"/>
  <c r="F9" i="33"/>
  <c r="F9" i="31"/>
  <c r="D9" i="31" s="1"/>
  <c r="B9" i="31" s="1"/>
  <c r="I42" i="31"/>
  <c r="D26" i="31"/>
  <c r="B26" i="31" s="1"/>
  <c r="P8" i="29"/>
  <c r="P8" i="27"/>
  <c r="P10" i="27" s="1"/>
  <c r="P19" i="27" s="1"/>
  <c r="D8" i="26"/>
  <c r="P10" i="26"/>
  <c r="P19" i="26" s="1"/>
  <c r="P33" i="26" s="1"/>
  <c r="P52" i="26" s="1"/>
  <c r="P56" i="26" s="1"/>
  <c r="P60" i="26" s="1"/>
  <c r="H8" i="29"/>
  <c r="H8" i="27"/>
  <c r="H10" i="27" s="1"/>
  <c r="D29" i="27"/>
  <c r="B29" i="27" s="1"/>
  <c r="R42" i="30"/>
  <c r="D16" i="30"/>
  <c r="B16" i="30" s="1"/>
  <c r="N14" i="33"/>
  <c r="D13" i="30"/>
  <c r="B13" i="30" s="1"/>
  <c r="I10" i="30"/>
  <c r="I19" i="30" s="1"/>
  <c r="I33" i="30" s="1"/>
  <c r="I52" i="30" s="1"/>
  <c r="I56" i="30" s="1"/>
  <c r="I60" i="30" s="1"/>
  <c r="N8" i="33"/>
  <c r="N10" i="33" s="1"/>
  <c r="D17" i="31"/>
  <c r="B17" i="31" s="1"/>
  <c r="R19" i="27"/>
  <c r="I10" i="27"/>
  <c r="I19" i="27" s="1"/>
  <c r="I33" i="27" s="1"/>
  <c r="I53" i="27" s="1"/>
  <c r="I57" i="27" s="1"/>
  <c r="I61" i="27" s="1"/>
  <c r="D49" i="27"/>
  <c r="B49" i="27" s="1"/>
  <c r="E51" i="27"/>
  <c r="D30" i="27"/>
  <c r="R28" i="27"/>
  <c r="B28" i="27" s="1"/>
  <c r="G64" i="5"/>
  <c r="G67" i="5"/>
  <c r="Q64" i="5"/>
  <c r="Q67" i="5"/>
  <c r="I22" i="5"/>
  <c r="I36" i="5" s="1"/>
  <c r="I57" i="5" s="1"/>
  <c r="I59" i="5" s="1"/>
  <c r="D13" i="32"/>
  <c r="B13" i="32" s="1"/>
  <c r="O13" i="33"/>
  <c r="G13" i="33"/>
  <c r="G19" i="32"/>
  <c r="G33" i="32" s="1"/>
  <c r="G52" i="32" s="1"/>
  <c r="G56" i="32" s="1"/>
  <c r="G60" i="32" s="1"/>
  <c r="L12" i="33"/>
  <c r="Q19" i="32"/>
  <c r="Q33" i="32" s="1"/>
  <c r="Q52" i="32" s="1"/>
  <c r="Q56" i="32" s="1"/>
  <c r="Q60" i="32" s="1"/>
  <c r="R31" i="30"/>
  <c r="K19" i="31"/>
  <c r="K33" i="31" s="1"/>
  <c r="D49" i="31"/>
  <c r="B49" i="31" s="1"/>
  <c r="G50" i="31"/>
  <c r="D24" i="31"/>
  <c r="B24" i="31" s="1"/>
  <c r="R13" i="31"/>
  <c r="R19" i="31" s="1"/>
  <c r="M9" i="31"/>
  <c r="N9" i="31" s="1"/>
  <c r="M10" i="31"/>
  <c r="M19" i="31" s="1"/>
  <c r="M33" i="31" s="1"/>
  <c r="M52" i="31" s="1"/>
  <c r="B50" i="26"/>
  <c r="B39" i="26"/>
  <c r="R31" i="26"/>
  <c r="K19" i="26"/>
  <c r="K33" i="26" s="1"/>
  <c r="K52" i="26" s="1"/>
  <c r="K56" i="26" s="1"/>
  <c r="K60" i="26" s="1"/>
  <c r="G33" i="26"/>
  <c r="G52" i="26" s="1"/>
  <c r="G56" i="26" s="1"/>
  <c r="G60" i="26" s="1"/>
  <c r="O10" i="27"/>
  <c r="D26" i="27"/>
  <c r="B26" i="27" s="1"/>
  <c r="B24" i="27"/>
  <c r="D18" i="27"/>
  <c r="B18" i="27" s="1"/>
  <c r="G10" i="27"/>
  <c r="G19" i="27" s="1"/>
  <c r="G33" i="27" s="1"/>
  <c r="G53" i="27" s="1"/>
  <c r="G57" i="27" s="1"/>
  <c r="G61" i="27" s="1"/>
  <c r="J16" i="33"/>
  <c r="M13" i="33"/>
  <c r="N13" i="33" s="1"/>
  <c r="E13" i="33"/>
  <c r="J9" i="33"/>
  <c r="D27" i="38"/>
  <c r="B27" i="38" s="1"/>
  <c r="B54" i="30"/>
  <c r="O50" i="31"/>
  <c r="G42" i="31"/>
  <c r="D14" i="31"/>
  <c r="B14" i="31" s="1"/>
  <c r="N12" i="31"/>
  <c r="N31" i="26"/>
  <c r="I9" i="29"/>
  <c r="I9" i="27"/>
  <c r="N19" i="26"/>
  <c r="N33" i="26" s="1"/>
  <c r="F8" i="27"/>
  <c r="F10" i="27" s="1"/>
  <c r="F10" i="26"/>
  <c r="F19" i="26" s="1"/>
  <c r="F33" i="26" s="1"/>
  <c r="F52" i="26" s="1"/>
  <c r="F56" i="26" s="1"/>
  <c r="F60" i="26" s="1"/>
  <c r="D59" i="27"/>
  <c r="B59" i="27" s="1"/>
  <c r="N43" i="27"/>
  <c r="F43" i="27"/>
  <c r="P31" i="27"/>
  <c r="N24" i="27"/>
  <c r="N31" i="27" s="1"/>
  <c r="M31" i="27"/>
  <c r="D22" i="27"/>
  <c r="O31" i="27"/>
  <c r="O9" i="27"/>
  <c r="D19" i="5"/>
  <c r="N36" i="5"/>
  <c r="P22" i="5"/>
  <c r="B42" i="32"/>
  <c r="R18" i="33"/>
  <c r="D14" i="32"/>
  <c r="B14" i="32" s="1"/>
  <c r="K50" i="33"/>
  <c r="D15" i="33"/>
  <c r="B15" i="33" s="1"/>
  <c r="D14" i="39"/>
  <c r="B14" i="39" s="1"/>
  <c r="I9" i="38"/>
  <c r="I10" i="38" s="1"/>
  <c r="I19" i="38" s="1"/>
  <c r="I33" i="38" s="1"/>
  <c r="I52" i="38" s="1"/>
  <c r="I56" i="38" s="1"/>
  <c r="I60" i="38" s="1"/>
  <c r="O42" i="31"/>
  <c r="D22" i="31"/>
  <c r="R16" i="31"/>
  <c r="N14" i="31"/>
  <c r="D38" i="26"/>
  <c r="E38" i="27"/>
  <c r="D38" i="27" s="1"/>
  <c r="B38" i="27" s="1"/>
  <c r="D50" i="27"/>
  <c r="B50" i="27" s="1"/>
  <c r="D48" i="27"/>
  <c r="B48" i="27" s="1"/>
  <c r="D46" i="27"/>
  <c r="I31" i="27"/>
  <c r="F31" i="27"/>
  <c r="N12" i="27"/>
  <c r="D56" i="5"/>
  <c r="R25" i="33"/>
  <c r="B25" i="33" s="1"/>
  <c r="B25" i="32"/>
  <c r="D31" i="32"/>
  <c r="P16" i="33"/>
  <c r="H16" i="33"/>
  <c r="F8" i="33"/>
  <c r="F10" i="33" s="1"/>
  <c r="F10" i="32"/>
  <c r="F19" i="32" s="1"/>
  <c r="F33" i="32" s="1"/>
  <c r="F52" i="32" s="1"/>
  <c r="F56" i="32" s="1"/>
  <c r="F60" i="32" s="1"/>
  <c r="P8" i="31"/>
  <c r="P10" i="31" s="1"/>
  <c r="P19" i="31" s="1"/>
  <c r="P33" i="31" s="1"/>
  <c r="P52" i="31" s="1"/>
  <c r="P56" i="31" s="1"/>
  <c r="P60" i="31" s="1"/>
  <c r="P8" i="33"/>
  <c r="D45" i="31"/>
  <c r="D39" i="31"/>
  <c r="B39" i="31" s="1"/>
  <c r="R23" i="31"/>
  <c r="R30" i="27"/>
  <c r="B30" i="26"/>
  <c r="K51" i="27"/>
  <c r="G43" i="27"/>
  <c r="D23" i="27"/>
  <c r="B23" i="27" s="1"/>
  <c r="H31" i="27"/>
  <c r="L22" i="5"/>
  <c r="L36" i="5" s="1"/>
  <c r="L57" i="5" s="1"/>
  <c r="L59" i="5" s="1"/>
  <c r="B39" i="32"/>
  <c r="R39" i="33"/>
  <c r="R42" i="33" s="1"/>
  <c r="F18" i="33"/>
  <c r="H31" i="38"/>
  <c r="H33" i="38" s="1"/>
  <c r="H52" i="38" s="1"/>
  <c r="H56" i="38" s="1"/>
  <c r="H60" i="38" s="1"/>
  <c r="D50" i="30"/>
  <c r="D18" i="30"/>
  <c r="B18" i="30" s="1"/>
  <c r="K10" i="30"/>
  <c r="K19" i="30" s="1"/>
  <c r="K33" i="30" s="1"/>
  <c r="K52" i="30" s="1"/>
  <c r="K56" i="30" s="1"/>
  <c r="K60" i="30" s="1"/>
  <c r="G10" i="33"/>
  <c r="D36" i="31"/>
  <c r="P31" i="31"/>
  <c r="R27" i="31"/>
  <c r="I13" i="31"/>
  <c r="I19" i="31" s="1"/>
  <c r="I33" i="31" s="1"/>
  <c r="I52" i="31" s="1"/>
  <c r="I56" i="31" s="1"/>
  <c r="I60" i="31" s="1"/>
  <c r="H12" i="31"/>
  <c r="D12" i="31" s="1"/>
  <c r="B12" i="31" s="1"/>
  <c r="G8" i="31"/>
  <c r="G10" i="31" s="1"/>
  <c r="G19" i="31" s="1"/>
  <c r="O10" i="26"/>
  <c r="O19" i="26" s="1"/>
  <c r="O33" i="26" s="1"/>
  <c r="O52" i="26" s="1"/>
  <c r="O56" i="26" s="1"/>
  <c r="O60" i="26" s="1"/>
  <c r="L31" i="27"/>
  <c r="K67" i="5"/>
  <c r="D9" i="5"/>
  <c r="E18" i="33"/>
  <c r="D18" i="33" s="1"/>
  <c r="B18" i="33" s="1"/>
  <c r="F12" i="33"/>
  <c r="L10" i="32"/>
  <c r="L19" i="32" s="1"/>
  <c r="L33" i="32" s="1"/>
  <c r="L52" i="32" s="1"/>
  <c r="L56" i="32" s="1"/>
  <c r="L60" i="32" s="1"/>
  <c r="L8" i="33"/>
  <c r="D8" i="32"/>
  <c r="S39" i="34"/>
  <c r="B39" i="34" s="1"/>
  <c r="B42" i="35"/>
  <c r="F42" i="26"/>
  <c r="R10" i="26"/>
  <c r="R19" i="26" s="1"/>
  <c r="R33" i="26" s="1"/>
  <c r="R52" i="26" s="1"/>
  <c r="R56" i="26" s="1"/>
  <c r="R60" i="26" s="1"/>
  <c r="I10" i="26"/>
  <c r="I19" i="26" s="1"/>
  <c r="I33" i="26" s="1"/>
  <c r="I52" i="26" s="1"/>
  <c r="I56" i="26" s="1"/>
  <c r="I60" i="26" s="1"/>
  <c r="H16" i="27"/>
  <c r="R30" i="33"/>
  <c r="B30" i="33" s="1"/>
  <c r="S31" i="32"/>
  <c r="I16" i="33"/>
  <c r="P14" i="33"/>
  <c r="D14" i="33" s="1"/>
  <c r="B14" i="33" s="1"/>
  <c r="H14" i="33"/>
  <c r="F13" i="33"/>
  <c r="K12" i="33"/>
  <c r="O9" i="33"/>
  <c r="G9" i="33"/>
  <c r="E8" i="33"/>
  <c r="M42" i="33"/>
  <c r="N37" i="33"/>
  <c r="P31" i="33"/>
  <c r="S25" i="34"/>
  <c r="B25" i="34" s="1"/>
  <c r="B25" i="35"/>
  <c r="P9" i="34"/>
  <c r="D9" i="35"/>
  <c r="B9" i="35" s="1"/>
  <c r="F8" i="34"/>
  <c r="F10" i="34" s="1"/>
  <c r="F19" i="34" s="1"/>
  <c r="F33" i="34" s="1"/>
  <c r="F10" i="35"/>
  <c r="F19" i="35" s="1"/>
  <c r="F33" i="35" s="1"/>
  <c r="F52" i="35" s="1"/>
  <c r="F56" i="35" s="1"/>
  <c r="F60" i="35" s="1"/>
  <c r="K31" i="34"/>
  <c r="O13" i="27"/>
  <c r="L12" i="27"/>
  <c r="L19" i="27" s="1"/>
  <c r="L33" i="27" s="1"/>
  <c r="L53" i="27" s="1"/>
  <c r="L57" i="27" s="1"/>
  <c r="L61" i="27" s="1"/>
  <c r="N9" i="27"/>
  <c r="D11" i="5"/>
  <c r="K33" i="32"/>
  <c r="K52" i="32" s="1"/>
  <c r="K56" i="32" s="1"/>
  <c r="K60" i="32" s="1"/>
  <c r="O16" i="33"/>
  <c r="G16" i="33"/>
  <c r="I12" i="33"/>
  <c r="J19" i="32"/>
  <c r="J33" i="32" s="1"/>
  <c r="J52" i="32" s="1"/>
  <c r="J56" i="32" s="1"/>
  <c r="J60" i="32" s="1"/>
  <c r="M9" i="33"/>
  <c r="E9" i="33"/>
  <c r="D49" i="33"/>
  <c r="B49" i="33" s="1"/>
  <c r="D46" i="33"/>
  <c r="B46" i="33" s="1"/>
  <c r="P50" i="33"/>
  <c r="D27" i="33"/>
  <c r="B27" i="33" s="1"/>
  <c r="O12" i="33"/>
  <c r="S27" i="34"/>
  <c r="B27" i="35"/>
  <c r="D36" i="34"/>
  <c r="Q42" i="34"/>
  <c r="I42" i="34"/>
  <c r="N16" i="3"/>
  <c r="M16" i="4"/>
  <c r="E16" i="4"/>
  <c r="D16" i="4" s="1"/>
  <c r="B16" i="4" s="1"/>
  <c r="D16" i="3"/>
  <c r="B16" i="3" s="1"/>
  <c r="O51" i="4"/>
  <c r="D49" i="4"/>
  <c r="B49" i="4" s="1"/>
  <c r="B17" i="36"/>
  <c r="D47" i="27"/>
  <c r="B47" i="27" s="1"/>
  <c r="N27" i="27"/>
  <c r="H14" i="27"/>
  <c r="E13" i="27"/>
  <c r="E19" i="27" s="1"/>
  <c r="E33" i="27" s="1"/>
  <c r="D54" i="5"/>
  <c r="F38" i="33"/>
  <c r="F42" i="33" s="1"/>
  <c r="R29" i="33"/>
  <c r="B29" i="33" s="1"/>
  <c r="B23" i="32"/>
  <c r="B31" i="32" s="1"/>
  <c r="D18" i="32"/>
  <c r="B18" i="32" s="1"/>
  <c r="E14" i="33"/>
  <c r="P12" i="33"/>
  <c r="H19" i="32"/>
  <c r="H33" i="32" s="1"/>
  <c r="H52" i="32" s="1"/>
  <c r="H56" i="32" s="1"/>
  <c r="H60" i="32" s="1"/>
  <c r="L9" i="33"/>
  <c r="D9" i="32"/>
  <c r="B9" i="32" s="1"/>
  <c r="J8" i="33"/>
  <c r="J10" i="33" s="1"/>
  <c r="I31" i="33"/>
  <c r="K14" i="34"/>
  <c r="K19" i="35"/>
  <c r="K33" i="35" s="1"/>
  <c r="K52" i="35" s="1"/>
  <c r="K56" i="35" s="1"/>
  <c r="K60" i="35" s="1"/>
  <c r="D27" i="34"/>
  <c r="B27" i="34" s="1"/>
  <c r="Q16" i="36"/>
  <c r="I16" i="36"/>
  <c r="M10" i="26"/>
  <c r="M19" i="26" s="1"/>
  <c r="M33" i="26" s="1"/>
  <c r="M52" i="26" s="1"/>
  <c r="E10" i="26"/>
  <c r="E19" i="26" s="1"/>
  <c r="E33" i="26" s="1"/>
  <c r="E52" i="26" s="1"/>
  <c r="E56" i="26" s="1"/>
  <c r="E60" i="26" s="1"/>
  <c r="O43" i="27"/>
  <c r="H43" i="27"/>
  <c r="M13" i="27"/>
  <c r="K9" i="27"/>
  <c r="K10" i="27" s="1"/>
  <c r="K19" i="27" s="1"/>
  <c r="K33" i="27" s="1"/>
  <c r="K53" i="27" s="1"/>
  <c r="K57" i="27" s="1"/>
  <c r="K61" i="27" s="1"/>
  <c r="D26" i="5"/>
  <c r="D13" i="5"/>
  <c r="F10" i="5"/>
  <c r="D8" i="5"/>
  <c r="E38" i="33"/>
  <c r="D38" i="33" s="1"/>
  <c r="B38" i="33" s="1"/>
  <c r="R17" i="33"/>
  <c r="B17" i="33" s="1"/>
  <c r="M16" i="33"/>
  <c r="E16" i="33"/>
  <c r="J13" i="33"/>
  <c r="G12" i="33"/>
  <c r="K9" i="33"/>
  <c r="R8" i="33"/>
  <c r="R10" i="33" s="1"/>
  <c r="R19" i="33" s="1"/>
  <c r="D48" i="33"/>
  <c r="B48" i="33" s="1"/>
  <c r="D40" i="33"/>
  <c r="B40" i="33" s="1"/>
  <c r="D36" i="33"/>
  <c r="B26" i="33"/>
  <c r="S29" i="34"/>
  <c r="B29" i="34" s="1"/>
  <c r="B29" i="35"/>
  <c r="Q16" i="34"/>
  <c r="Q19" i="35"/>
  <c r="Q33" i="35" s="1"/>
  <c r="Q52" i="35" s="1"/>
  <c r="Q56" i="35" s="1"/>
  <c r="Q60" i="35" s="1"/>
  <c r="I16" i="34"/>
  <c r="I19" i="35"/>
  <c r="I33" i="35" s="1"/>
  <c r="I52" i="35" s="1"/>
  <c r="I56" i="35" s="1"/>
  <c r="I60" i="35" s="1"/>
  <c r="B17" i="34"/>
  <c r="D15" i="34"/>
  <c r="B15" i="34" s="1"/>
  <c r="N53" i="1"/>
  <c r="M57" i="1"/>
  <c r="B42" i="37"/>
  <c r="H51" i="27"/>
  <c r="P43" i="27"/>
  <c r="F14" i="27"/>
  <c r="R24" i="33"/>
  <c r="R31" i="33" s="1"/>
  <c r="L16" i="33"/>
  <c r="D16" i="32"/>
  <c r="B16" i="32" s="1"/>
  <c r="K14" i="33"/>
  <c r="E10" i="32"/>
  <c r="E19" i="32" s="1"/>
  <c r="E33" i="32" s="1"/>
  <c r="E52" i="32" s="1"/>
  <c r="E56" i="32" s="1"/>
  <c r="E60" i="32" s="1"/>
  <c r="H8" i="33"/>
  <c r="H10" i="33" s="1"/>
  <c r="D28" i="33"/>
  <c r="B28" i="33" s="1"/>
  <c r="D22" i="33"/>
  <c r="O31" i="33"/>
  <c r="E38" i="34"/>
  <c r="E42" i="34" s="1"/>
  <c r="E42" i="35"/>
  <c r="D38" i="35"/>
  <c r="B38" i="35" s="1"/>
  <c r="F12" i="34"/>
  <c r="Q50" i="34"/>
  <c r="H50" i="34"/>
  <c r="I31" i="34"/>
  <c r="N8" i="4"/>
  <c r="N10" i="4" s="1"/>
  <c r="M10" i="4"/>
  <c r="P51" i="27"/>
  <c r="D36" i="27"/>
  <c r="J31" i="27"/>
  <c r="J16" i="27"/>
  <c r="D16" i="27" s="1"/>
  <c r="B16" i="27" s="1"/>
  <c r="D35" i="5"/>
  <c r="D15" i="5"/>
  <c r="B45" i="32"/>
  <c r="B50" i="32" s="1"/>
  <c r="D50" i="32"/>
  <c r="D42" i="32"/>
  <c r="R26" i="33"/>
  <c r="K16" i="33"/>
  <c r="J14" i="33"/>
  <c r="P13" i="33"/>
  <c r="H13" i="33"/>
  <c r="M12" i="33"/>
  <c r="N12" i="33" s="1"/>
  <c r="O8" i="33"/>
  <c r="D58" i="33"/>
  <c r="B58" i="33" s="1"/>
  <c r="H50" i="33"/>
  <c r="O50" i="33"/>
  <c r="J42" i="33"/>
  <c r="N24" i="33"/>
  <c r="N31" i="33" s="1"/>
  <c r="M31" i="33"/>
  <c r="F31" i="33"/>
  <c r="S54" i="34"/>
  <c r="B54" i="34" s="1"/>
  <c r="B46" i="35"/>
  <c r="D50" i="35"/>
  <c r="S23" i="34"/>
  <c r="S9" i="36"/>
  <c r="S10" i="36" s="1"/>
  <c r="S19" i="36" s="1"/>
  <c r="S9" i="34"/>
  <c r="D8" i="35"/>
  <c r="P8" i="34"/>
  <c r="P10" i="34" s="1"/>
  <c r="P10" i="35"/>
  <c r="P19" i="35" s="1"/>
  <c r="P33" i="35" s="1"/>
  <c r="P52" i="35" s="1"/>
  <c r="P56" i="35" s="1"/>
  <c r="P60" i="35" s="1"/>
  <c r="H8" i="34"/>
  <c r="H10" i="34" s="1"/>
  <c r="H10" i="35"/>
  <c r="H19" i="35" s="1"/>
  <c r="H33" i="35" s="1"/>
  <c r="H52" i="35" s="1"/>
  <c r="H56" i="35" s="1"/>
  <c r="H60" i="35" s="1"/>
  <c r="D48" i="34"/>
  <c r="B48" i="34" s="1"/>
  <c r="I50" i="34"/>
  <c r="N16" i="34"/>
  <c r="B51" i="1"/>
  <c r="N37" i="4"/>
  <c r="N43" i="4" s="1"/>
  <c r="L43" i="4"/>
  <c r="D37" i="4"/>
  <c r="B37" i="4" s="1"/>
  <c r="O10" i="32"/>
  <c r="O19" i="32" s="1"/>
  <c r="O33" i="32" s="1"/>
  <c r="O52" i="32" s="1"/>
  <c r="O56" i="32" s="1"/>
  <c r="O60" i="32" s="1"/>
  <c r="N41" i="33"/>
  <c r="I9" i="33"/>
  <c r="S22" i="34"/>
  <c r="S16" i="34"/>
  <c r="J16" i="34"/>
  <c r="L14" i="36"/>
  <c r="L14" i="34"/>
  <c r="N14" i="34" s="1"/>
  <c r="D14" i="35"/>
  <c r="B14" i="35" s="1"/>
  <c r="L13" i="34"/>
  <c r="N13" i="34" s="1"/>
  <c r="L13" i="36"/>
  <c r="K12" i="34"/>
  <c r="S10" i="35"/>
  <c r="S19" i="35" s="1"/>
  <c r="S33" i="35" s="1"/>
  <c r="S52" i="35" s="1"/>
  <c r="S56" i="35" s="1"/>
  <c r="S60" i="35" s="1"/>
  <c r="Q9" i="34"/>
  <c r="D47" i="34"/>
  <c r="B47" i="34" s="1"/>
  <c r="N39" i="34"/>
  <c r="S42" i="34"/>
  <c r="J42" i="34"/>
  <c r="R43" i="1"/>
  <c r="R57" i="3"/>
  <c r="R61" i="3" s="1"/>
  <c r="B51" i="3"/>
  <c r="F18" i="4"/>
  <c r="D18" i="4" s="1"/>
  <c r="B18" i="4" s="1"/>
  <c r="R33" i="3"/>
  <c r="R53" i="3" s="1"/>
  <c r="P9" i="36"/>
  <c r="H9" i="36"/>
  <c r="D23" i="29"/>
  <c r="O31" i="29"/>
  <c r="B54" i="35"/>
  <c r="O23" i="36"/>
  <c r="O23" i="34"/>
  <c r="B22" i="35"/>
  <c r="E18" i="34"/>
  <c r="D18" i="34" s="1"/>
  <c r="B18" i="34" s="1"/>
  <c r="H16" i="34"/>
  <c r="J13" i="34"/>
  <c r="I12" i="34"/>
  <c r="S14" i="34"/>
  <c r="M12" i="34"/>
  <c r="E53" i="1"/>
  <c r="E57" i="1" s="1"/>
  <c r="E61" i="1" s="1"/>
  <c r="L9" i="4"/>
  <c r="N9" i="4" s="1"/>
  <c r="L10" i="1"/>
  <c r="L19" i="1" s="1"/>
  <c r="L33" i="1" s="1"/>
  <c r="L53" i="1" s="1"/>
  <c r="L57" i="1" s="1"/>
  <c r="L61" i="1" s="1"/>
  <c r="D9" i="1"/>
  <c r="B9" i="1" s="1"/>
  <c r="F16" i="33"/>
  <c r="K8" i="33"/>
  <c r="K10" i="33" s="1"/>
  <c r="E31" i="35"/>
  <c r="D18" i="35"/>
  <c r="B18" i="35" s="1"/>
  <c r="Q14" i="34"/>
  <c r="Q13" i="34"/>
  <c r="D12" i="35"/>
  <c r="B12" i="35" s="1"/>
  <c r="H12" i="34"/>
  <c r="F9" i="34"/>
  <c r="L19" i="36"/>
  <c r="L33" i="36" s="1"/>
  <c r="D28" i="34"/>
  <c r="B28" i="34" s="1"/>
  <c r="D24" i="34"/>
  <c r="F23" i="34"/>
  <c r="F31" i="34" s="1"/>
  <c r="S8" i="34"/>
  <c r="S10" i="34" s="1"/>
  <c r="R53" i="1"/>
  <c r="R57" i="1" s="1"/>
  <c r="R61" i="1" s="1"/>
  <c r="K19" i="1"/>
  <c r="K33" i="1" s="1"/>
  <c r="K53" i="1" s="1"/>
  <c r="K57" i="1" s="1"/>
  <c r="K61" i="1" s="1"/>
  <c r="B25" i="3"/>
  <c r="I33" i="3"/>
  <c r="I53" i="3" s="1"/>
  <c r="I57" i="3" s="1"/>
  <c r="I61" i="3" s="1"/>
  <c r="M19" i="3"/>
  <c r="M33" i="3" s="1"/>
  <c r="M53" i="3" s="1"/>
  <c r="E10" i="4"/>
  <c r="G42" i="33"/>
  <c r="B48" i="35"/>
  <c r="D42" i="35"/>
  <c r="S17" i="34"/>
  <c r="F16" i="34"/>
  <c r="H14" i="34"/>
  <c r="D13" i="35"/>
  <c r="B13" i="35" s="1"/>
  <c r="H13" i="34"/>
  <c r="M9" i="34"/>
  <c r="N9" i="34" s="1"/>
  <c r="E9" i="34"/>
  <c r="E10" i="34" s="1"/>
  <c r="E19" i="34" s="1"/>
  <c r="E33" i="34" s="1"/>
  <c r="E52" i="34" s="1"/>
  <c r="E56" i="34" s="1"/>
  <c r="E60" i="34" s="1"/>
  <c r="K8" i="34"/>
  <c r="K10" i="34" s="1"/>
  <c r="N50" i="34"/>
  <c r="D45" i="34"/>
  <c r="N42" i="34"/>
  <c r="F42" i="34"/>
  <c r="E23" i="34"/>
  <c r="E31" i="34" s="1"/>
  <c r="D38" i="1"/>
  <c r="B38" i="1" s="1"/>
  <c r="E43" i="1"/>
  <c r="N14" i="4"/>
  <c r="G53" i="1"/>
  <c r="G57" i="1" s="1"/>
  <c r="G61" i="1" s="1"/>
  <c r="H19" i="1"/>
  <c r="H33" i="1" s="1"/>
  <c r="H53" i="1" s="1"/>
  <c r="H57" i="1" s="1"/>
  <c r="H61" i="1" s="1"/>
  <c r="O31" i="4"/>
  <c r="D22" i="4"/>
  <c r="D45" i="36"/>
  <c r="O42" i="33"/>
  <c r="D24" i="33"/>
  <c r="K31" i="33"/>
  <c r="I8" i="33"/>
  <c r="I10" i="33" s="1"/>
  <c r="S30" i="34"/>
  <c r="B30" i="34" s="1"/>
  <c r="S28" i="34"/>
  <c r="S26" i="34"/>
  <c r="B26" i="34" s="1"/>
  <c r="S24" i="34"/>
  <c r="E16" i="34"/>
  <c r="M10" i="35"/>
  <c r="M19" i="35" s="1"/>
  <c r="M33" i="35" s="1"/>
  <c r="M52" i="35" s="1"/>
  <c r="E10" i="35"/>
  <c r="E19" i="35" s="1"/>
  <c r="J8" i="34"/>
  <c r="J10" i="34" s="1"/>
  <c r="D49" i="34"/>
  <c r="B49" i="34" s="1"/>
  <c r="D46" i="34"/>
  <c r="B46" i="34" s="1"/>
  <c r="Q31" i="34"/>
  <c r="S13" i="34"/>
  <c r="I8" i="34"/>
  <c r="I10" i="34" s="1"/>
  <c r="B37" i="1"/>
  <c r="O12" i="4"/>
  <c r="D12" i="1"/>
  <c r="B12" i="1" s="1"/>
  <c r="O19" i="1"/>
  <c r="O33" i="1" s="1"/>
  <c r="O53" i="1" s="1"/>
  <c r="O57" i="1" s="1"/>
  <c r="O61" i="1" s="1"/>
  <c r="J13" i="4"/>
  <c r="K10" i="4"/>
  <c r="L14" i="33"/>
  <c r="K13" i="33"/>
  <c r="J12" i="33"/>
  <c r="S10" i="32"/>
  <c r="S19" i="32" s="1"/>
  <c r="S33" i="32" s="1"/>
  <c r="S52" i="32" s="1"/>
  <c r="S56" i="32" s="1"/>
  <c r="S60" i="32" s="1"/>
  <c r="D39" i="33"/>
  <c r="B39" i="33" s="1"/>
  <c r="S31" i="35"/>
  <c r="D23" i="35"/>
  <c r="B23" i="35" s="1"/>
  <c r="L16" i="34"/>
  <c r="D16" i="35"/>
  <c r="B16" i="35" s="1"/>
  <c r="F14" i="34"/>
  <c r="E12" i="34"/>
  <c r="Q8" i="34"/>
  <c r="Q10" i="34" s="1"/>
  <c r="L42" i="34"/>
  <c r="H31" i="34"/>
  <c r="P13" i="34"/>
  <c r="D31" i="1"/>
  <c r="B22" i="1"/>
  <c r="B31" i="1" s="1"/>
  <c r="F19" i="1"/>
  <c r="F33" i="1" s="1"/>
  <c r="F53" i="1" s="1"/>
  <c r="F57" i="1" s="1"/>
  <c r="F61" i="1" s="1"/>
  <c r="E43" i="3"/>
  <c r="E38" i="4"/>
  <c r="D38" i="4" s="1"/>
  <c r="B38" i="4" s="1"/>
  <c r="D38" i="3"/>
  <c r="L14" i="4"/>
  <c r="L19" i="3"/>
  <c r="L33" i="3" s="1"/>
  <c r="L53" i="3" s="1"/>
  <c r="L57" i="3" s="1"/>
  <c r="L61" i="3" s="1"/>
  <c r="D14" i="3"/>
  <c r="B14" i="3" s="1"/>
  <c r="F12" i="4"/>
  <c r="D12" i="3"/>
  <c r="B12" i="3" s="1"/>
  <c r="P12" i="36"/>
  <c r="H12" i="36"/>
  <c r="O14" i="34"/>
  <c r="G14" i="34"/>
  <c r="O13" i="34"/>
  <c r="G13" i="34"/>
  <c r="O12" i="34"/>
  <c r="G12" i="34"/>
  <c r="O9" i="34"/>
  <c r="D9" i="34" s="1"/>
  <c r="B9" i="34" s="1"/>
  <c r="G9" i="34"/>
  <c r="O8" i="34"/>
  <c r="G8" i="34"/>
  <c r="G10" i="34" s="1"/>
  <c r="B23" i="3"/>
  <c r="K14" i="4"/>
  <c r="I13" i="4"/>
  <c r="G12" i="4"/>
  <c r="J8" i="4"/>
  <c r="J10" i="4" s="1"/>
  <c r="J19" i="4" s="1"/>
  <c r="J33" i="4" s="1"/>
  <c r="J53" i="4" s="1"/>
  <c r="J57" i="4" s="1"/>
  <c r="J61" i="4" s="1"/>
  <c r="J10" i="3"/>
  <c r="J19" i="3" s="1"/>
  <c r="J33" i="3" s="1"/>
  <c r="J53" i="3" s="1"/>
  <c r="J57" i="3" s="1"/>
  <c r="J61" i="3" s="1"/>
  <c r="D59" i="4"/>
  <c r="B59" i="4" s="1"/>
  <c r="J51" i="4"/>
  <c r="G43" i="4"/>
  <c r="G31" i="4"/>
  <c r="S18" i="36"/>
  <c r="J14" i="36"/>
  <c r="Q13" i="36"/>
  <c r="I13" i="36"/>
  <c r="D46" i="29"/>
  <c r="B46" i="29" s="1"/>
  <c r="P50" i="29"/>
  <c r="J50" i="29"/>
  <c r="D45" i="29"/>
  <c r="D40" i="29"/>
  <c r="B40" i="29" s="1"/>
  <c r="L12" i="34"/>
  <c r="D8" i="1"/>
  <c r="B22" i="3"/>
  <c r="L16" i="4"/>
  <c r="I14" i="4"/>
  <c r="P13" i="4"/>
  <c r="N12" i="4"/>
  <c r="E19" i="3"/>
  <c r="E33" i="3" s="1"/>
  <c r="J9" i="4"/>
  <c r="D10" i="3"/>
  <c r="D19" i="3" s="1"/>
  <c r="D33" i="3" s="1"/>
  <c r="B8" i="3"/>
  <c r="H8" i="4"/>
  <c r="H10" i="4" s="1"/>
  <c r="H19" i="4" s="1"/>
  <c r="H33" i="4" s="1"/>
  <c r="H53" i="4" s="1"/>
  <c r="H57" i="4" s="1"/>
  <c r="H61" i="4" s="1"/>
  <c r="B55" i="4"/>
  <c r="D47" i="4"/>
  <c r="B47" i="4" s="1"/>
  <c r="F38" i="4"/>
  <c r="F43" i="4" s="1"/>
  <c r="M43" i="4"/>
  <c r="E43" i="4"/>
  <c r="M31" i="4"/>
  <c r="N22" i="4"/>
  <c r="N31" i="4" s="1"/>
  <c r="F18" i="36"/>
  <c r="M8" i="36"/>
  <c r="M10" i="37"/>
  <c r="M19" i="37" s="1"/>
  <c r="M33" i="37" s="1"/>
  <c r="M52" i="37" s="1"/>
  <c r="E8" i="36"/>
  <c r="E10" i="37"/>
  <c r="E19" i="37" s="1"/>
  <c r="E33" i="37" s="1"/>
  <c r="B36" i="36"/>
  <c r="B46" i="28"/>
  <c r="D50" i="28"/>
  <c r="R18" i="29"/>
  <c r="G16" i="29"/>
  <c r="R13" i="29"/>
  <c r="H13" i="29"/>
  <c r="H19" i="28"/>
  <c r="H33" i="28" s="1"/>
  <c r="H52" i="28" s="1"/>
  <c r="H56" i="28" s="1"/>
  <c r="H60" i="28" s="1"/>
  <c r="B29" i="3"/>
  <c r="K16" i="4"/>
  <c r="O13" i="4"/>
  <c r="D13" i="3"/>
  <c r="B13" i="3" s="1"/>
  <c r="F13" i="4"/>
  <c r="O8" i="4"/>
  <c r="G8" i="4"/>
  <c r="G51" i="4"/>
  <c r="D25" i="4"/>
  <c r="B25" i="4" s="1"/>
  <c r="D23" i="4"/>
  <c r="B23" i="4" s="1"/>
  <c r="P31" i="4"/>
  <c r="D15" i="4"/>
  <c r="B15" i="4" s="1"/>
  <c r="I19" i="37"/>
  <c r="I33" i="37" s="1"/>
  <c r="I52" i="37" s="1"/>
  <c r="I56" i="37" s="1"/>
  <c r="I60" i="37" s="1"/>
  <c r="K50" i="36"/>
  <c r="L8" i="34"/>
  <c r="L10" i="34" s="1"/>
  <c r="L19" i="34" s="1"/>
  <c r="L33" i="34" s="1"/>
  <c r="L52" i="34" s="1"/>
  <c r="L56" i="34" s="1"/>
  <c r="L60" i="34" s="1"/>
  <c r="D31" i="3"/>
  <c r="J16" i="4"/>
  <c r="N13" i="3"/>
  <c r="M13" i="4"/>
  <c r="N13" i="4" s="1"/>
  <c r="E13" i="4"/>
  <c r="N8" i="3"/>
  <c r="N10" i="3" s="1"/>
  <c r="N19" i="3" s="1"/>
  <c r="N33" i="3" s="1"/>
  <c r="F8" i="4"/>
  <c r="F10" i="4" s="1"/>
  <c r="F19" i="4" s="1"/>
  <c r="F33" i="4" s="1"/>
  <c r="F53" i="4" s="1"/>
  <c r="F57" i="4" s="1"/>
  <c r="F61" i="4" s="1"/>
  <c r="F10" i="3"/>
  <c r="F19" i="3" s="1"/>
  <c r="F33" i="3" s="1"/>
  <c r="F53" i="3" s="1"/>
  <c r="F57" i="3" s="1"/>
  <c r="F61" i="3" s="1"/>
  <c r="D41" i="4"/>
  <c r="B41" i="4" s="1"/>
  <c r="K43" i="4"/>
  <c r="K31" i="4"/>
  <c r="I9" i="4"/>
  <c r="I10" i="4" s="1"/>
  <c r="I19" i="4" s="1"/>
  <c r="I33" i="4" s="1"/>
  <c r="I53" i="4" s="1"/>
  <c r="I57" i="4" s="1"/>
  <c r="I61" i="4" s="1"/>
  <c r="Q19" i="37"/>
  <c r="Q33" i="37" s="1"/>
  <c r="Q52" i="37" s="1"/>
  <c r="Q56" i="37" s="1"/>
  <c r="Q60" i="37" s="1"/>
  <c r="F18" i="29"/>
  <c r="D18" i="28"/>
  <c r="B18" i="28" s="1"/>
  <c r="M16" i="29"/>
  <c r="N31" i="1"/>
  <c r="N33" i="1" s="1"/>
  <c r="L13" i="4"/>
  <c r="P10" i="3"/>
  <c r="P19" i="3" s="1"/>
  <c r="P33" i="3" s="1"/>
  <c r="P53" i="3" s="1"/>
  <c r="P57" i="3" s="1"/>
  <c r="O9" i="4"/>
  <c r="D9" i="3"/>
  <c r="B9" i="3" s="1"/>
  <c r="O10" i="3"/>
  <c r="O19" i="3" s="1"/>
  <c r="O33" i="3" s="1"/>
  <c r="O53" i="3" s="1"/>
  <c r="O57" i="3" s="1"/>
  <c r="O61" i="3" s="1"/>
  <c r="G9" i="4"/>
  <c r="G10" i="3"/>
  <c r="G19" i="3" s="1"/>
  <c r="G33" i="3" s="1"/>
  <c r="G53" i="3" s="1"/>
  <c r="G57" i="3" s="1"/>
  <c r="G61" i="3" s="1"/>
  <c r="D48" i="4"/>
  <c r="B48" i="4" s="1"/>
  <c r="M51" i="4"/>
  <c r="D46" i="4"/>
  <c r="E51" i="4"/>
  <c r="F31" i="4"/>
  <c r="S39" i="36"/>
  <c r="S42" i="37"/>
  <c r="J12" i="36"/>
  <c r="D37" i="36"/>
  <c r="B37" i="36" s="1"/>
  <c r="O16" i="34"/>
  <c r="G16" i="34"/>
  <c r="L9" i="34"/>
  <c r="D14" i="1"/>
  <c r="B14" i="1" s="1"/>
  <c r="H16" i="4"/>
  <c r="E14" i="4"/>
  <c r="D14" i="4" s="1"/>
  <c r="B14" i="4" s="1"/>
  <c r="K13" i="4"/>
  <c r="I12" i="4"/>
  <c r="F9" i="4"/>
  <c r="D50" i="4"/>
  <c r="B50" i="4" s="1"/>
  <c r="I43" i="4"/>
  <c r="P8" i="4"/>
  <c r="P10" i="4" s="1"/>
  <c r="K13" i="36"/>
  <c r="L52" i="37"/>
  <c r="L56" i="37" s="1"/>
  <c r="L60" i="37" s="1"/>
  <c r="S16" i="36"/>
  <c r="K14" i="36"/>
  <c r="J13" i="36"/>
  <c r="Q12" i="36"/>
  <c r="I12" i="36"/>
  <c r="P19" i="37"/>
  <c r="P33" i="37" s="1"/>
  <c r="P52" i="37" s="1"/>
  <c r="P56" i="37" s="1"/>
  <c r="P60" i="37" s="1"/>
  <c r="H19" i="37"/>
  <c r="H33" i="37" s="1"/>
  <c r="H52" i="37" s="1"/>
  <c r="H56" i="37" s="1"/>
  <c r="H60" i="37" s="1"/>
  <c r="D49" i="36"/>
  <c r="B49" i="36" s="1"/>
  <c r="D46" i="36"/>
  <c r="B46" i="36" s="1"/>
  <c r="O42" i="36"/>
  <c r="S42" i="36"/>
  <c r="G31" i="36"/>
  <c r="B26" i="36"/>
  <c r="K14" i="29"/>
  <c r="D14" i="29" s="1"/>
  <c r="B14" i="29" s="1"/>
  <c r="L8" i="4"/>
  <c r="L10" i="4" s="1"/>
  <c r="F38" i="36"/>
  <c r="F42" i="36" s="1"/>
  <c r="N31" i="37"/>
  <c r="E18" i="36"/>
  <c r="D18" i="37"/>
  <c r="B18" i="37" s="1"/>
  <c r="P16" i="36"/>
  <c r="H16" i="36"/>
  <c r="Q14" i="36"/>
  <c r="I14" i="36"/>
  <c r="P13" i="36"/>
  <c r="H13" i="36"/>
  <c r="N19" i="37"/>
  <c r="N33" i="37" s="1"/>
  <c r="F19" i="37"/>
  <c r="F33" i="37" s="1"/>
  <c r="F52" i="37" s="1"/>
  <c r="F56" i="37" s="1"/>
  <c r="F60" i="37" s="1"/>
  <c r="M9" i="36"/>
  <c r="N9" i="36" s="1"/>
  <c r="E9" i="36"/>
  <c r="B24" i="36"/>
  <c r="R28" i="29"/>
  <c r="E38" i="36"/>
  <c r="E42" i="36" s="1"/>
  <c r="E42" i="37"/>
  <c r="D31" i="37"/>
  <c r="O16" i="36"/>
  <c r="D16" i="37"/>
  <c r="B16" i="37" s="1"/>
  <c r="G16" i="36"/>
  <c r="P14" i="36"/>
  <c r="H14" i="36"/>
  <c r="K8" i="36"/>
  <c r="K10" i="36" s="1"/>
  <c r="D47" i="36"/>
  <c r="B47" i="36" s="1"/>
  <c r="D39" i="36"/>
  <c r="G42" i="36"/>
  <c r="B30" i="36"/>
  <c r="B22" i="36"/>
  <c r="R25" i="29"/>
  <c r="L8" i="29"/>
  <c r="L10" i="29" s="1"/>
  <c r="L10" i="28"/>
  <c r="L19" i="28" s="1"/>
  <c r="L33" i="28" s="1"/>
  <c r="L52" i="28" s="1"/>
  <c r="L56" i="28" s="1"/>
  <c r="L60" i="28" s="1"/>
  <c r="N8" i="28"/>
  <c r="N10" i="28" s="1"/>
  <c r="N19" i="28" s="1"/>
  <c r="N33" i="28" s="1"/>
  <c r="D8" i="28"/>
  <c r="D17" i="29"/>
  <c r="B17" i="29" s="1"/>
  <c r="D36" i="4"/>
  <c r="N18" i="4"/>
  <c r="S48" i="36"/>
  <c r="S50" i="36" s="1"/>
  <c r="S17" i="36"/>
  <c r="F16" i="36"/>
  <c r="M12" i="36"/>
  <c r="N12" i="36" s="1"/>
  <c r="E12" i="36"/>
  <c r="K9" i="36"/>
  <c r="J8" i="36"/>
  <c r="J10" i="36" s="1"/>
  <c r="J19" i="36" s="1"/>
  <c r="J33" i="36" s="1"/>
  <c r="J52" i="36" s="1"/>
  <c r="J56" i="36" s="1"/>
  <c r="J60" i="36" s="1"/>
  <c r="D58" i="36"/>
  <c r="B58" i="36" s="1"/>
  <c r="D48" i="36"/>
  <c r="B48" i="36" s="1"/>
  <c r="N42" i="36"/>
  <c r="R30" i="29"/>
  <c r="R22" i="29"/>
  <c r="P9" i="29"/>
  <c r="G9" i="29"/>
  <c r="B30" i="29"/>
  <c r="D26" i="4"/>
  <c r="B26" i="4" s="1"/>
  <c r="R31" i="4"/>
  <c r="R33" i="4" s="1"/>
  <c r="R53" i="4" s="1"/>
  <c r="R57" i="4" s="1"/>
  <c r="R61" i="4" s="1"/>
  <c r="I31" i="4"/>
  <c r="S54" i="36"/>
  <c r="S29" i="36"/>
  <c r="B29" i="36" s="1"/>
  <c r="S27" i="36"/>
  <c r="B27" i="36" s="1"/>
  <c r="S25" i="36"/>
  <c r="S23" i="36"/>
  <c r="S31" i="36" s="1"/>
  <c r="M16" i="36"/>
  <c r="N16" i="36" s="1"/>
  <c r="M13" i="36"/>
  <c r="N13" i="36" s="1"/>
  <c r="E13" i="36"/>
  <c r="J9" i="36"/>
  <c r="Q8" i="36"/>
  <c r="Q10" i="36" s="1"/>
  <c r="I8" i="36"/>
  <c r="I10" i="36" s="1"/>
  <c r="I19" i="36" s="1"/>
  <c r="I33" i="36" s="1"/>
  <c r="I52" i="36" s="1"/>
  <c r="I56" i="36" s="1"/>
  <c r="I60" i="36" s="1"/>
  <c r="B28" i="36"/>
  <c r="B25" i="36"/>
  <c r="R54" i="29"/>
  <c r="J13" i="29"/>
  <c r="J19" i="28"/>
  <c r="J33" i="28" s="1"/>
  <c r="J52" i="28" s="1"/>
  <c r="J56" i="28" s="1"/>
  <c r="J60" i="28" s="1"/>
  <c r="O12" i="29"/>
  <c r="D12" i="28"/>
  <c r="B12" i="28" s="1"/>
  <c r="B28" i="29"/>
  <c r="B27" i="29"/>
  <c r="B48" i="37"/>
  <c r="B50" i="37" s="1"/>
  <c r="L16" i="36"/>
  <c r="M14" i="36"/>
  <c r="N14" i="36" s="1"/>
  <c r="E14" i="36"/>
  <c r="K12" i="36"/>
  <c r="Q9" i="36"/>
  <c r="I9" i="36"/>
  <c r="P8" i="36"/>
  <c r="P10" i="36" s="1"/>
  <c r="H8" i="36"/>
  <c r="D54" i="36"/>
  <c r="L42" i="36"/>
  <c r="M14" i="29"/>
  <c r="M9" i="29"/>
  <c r="N9" i="29" s="1"/>
  <c r="M10" i="28"/>
  <c r="M19" i="28" s="1"/>
  <c r="M33" i="28" s="1"/>
  <c r="M52" i="28" s="1"/>
  <c r="N9" i="28"/>
  <c r="E9" i="29"/>
  <c r="E10" i="28"/>
  <c r="E19" i="28" s="1"/>
  <c r="E33" i="28" s="1"/>
  <c r="E52" i="28" s="1"/>
  <c r="E56" i="28" s="1"/>
  <c r="E60" i="28" s="1"/>
  <c r="S31" i="37"/>
  <c r="N22" i="36"/>
  <c r="N31" i="36" s="1"/>
  <c r="B50" i="28"/>
  <c r="B23" i="28"/>
  <c r="O16" i="29"/>
  <c r="F16" i="29"/>
  <c r="L14" i="29"/>
  <c r="I13" i="29"/>
  <c r="E12" i="29"/>
  <c r="O9" i="29"/>
  <c r="D9" i="28"/>
  <c r="B9" i="28" s="1"/>
  <c r="F9" i="29"/>
  <c r="K8" i="29"/>
  <c r="K10" i="29" s="1"/>
  <c r="F38" i="29"/>
  <c r="D25" i="29"/>
  <c r="B25" i="29" s="1"/>
  <c r="J31" i="29"/>
  <c r="J16" i="36"/>
  <c r="R39" i="29"/>
  <c r="R42" i="29" s="1"/>
  <c r="D31" i="28"/>
  <c r="E18" i="29"/>
  <c r="L16" i="29"/>
  <c r="J14" i="29"/>
  <c r="P13" i="29"/>
  <c r="D13" i="29" s="1"/>
  <c r="B13" i="29" s="1"/>
  <c r="D13" i="28"/>
  <c r="B13" i="28" s="1"/>
  <c r="K12" i="29"/>
  <c r="L9" i="29"/>
  <c r="R8" i="29"/>
  <c r="R10" i="29" s="1"/>
  <c r="R19" i="29" s="1"/>
  <c r="I8" i="29"/>
  <c r="I10" i="29" s="1"/>
  <c r="P31" i="29"/>
  <c r="D24" i="29"/>
  <c r="H31" i="29"/>
  <c r="E16" i="36"/>
  <c r="O14" i="36"/>
  <c r="G14" i="36"/>
  <c r="O13" i="36"/>
  <c r="D13" i="36" s="1"/>
  <c r="B13" i="36" s="1"/>
  <c r="G13" i="36"/>
  <c r="O12" i="36"/>
  <c r="D12" i="36" s="1"/>
  <c r="B12" i="36" s="1"/>
  <c r="G12" i="36"/>
  <c r="O9" i="36"/>
  <c r="G9" i="36"/>
  <c r="O8" i="36"/>
  <c r="G8" i="36"/>
  <c r="G10" i="36" s="1"/>
  <c r="R24" i="29"/>
  <c r="K16" i="29"/>
  <c r="I14" i="29"/>
  <c r="F13" i="29"/>
  <c r="J12" i="29"/>
  <c r="K19" i="28"/>
  <c r="K33" i="28" s="1"/>
  <c r="K52" i="28" s="1"/>
  <c r="K56" i="28" s="1"/>
  <c r="K60" i="28" s="1"/>
  <c r="D58" i="29"/>
  <c r="B58" i="29" s="1"/>
  <c r="D54" i="29"/>
  <c r="D47" i="29"/>
  <c r="B47" i="29" s="1"/>
  <c r="D41" i="29"/>
  <c r="B41" i="29" s="1"/>
  <c r="F42" i="29"/>
  <c r="J42" i="29"/>
  <c r="N30" i="29"/>
  <c r="N31" i="29" s="1"/>
  <c r="D26" i="29"/>
  <c r="B26" i="29" s="1"/>
  <c r="K31" i="29"/>
  <c r="F31" i="29"/>
  <c r="S19" i="37"/>
  <c r="S33" i="37" s="1"/>
  <c r="S52" i="37" s="1"/>
  <c r="S56" i="37" s="1"/>
  <c r="S60" i="37" s="1"/>
  <c r="F14" i="36"/>
  <c r="F13" i="36"/>
  <c r="F12" i="36"/>
  <c r="F9" i="36"/>
  <c r="F8" i="36"/>
  <c r="F10" i="36" s="1"/>
  <c r="B27" i="28"/>
  <c r="B31" i="28" s="1"/>
  <c r="I12" i="29"/>
  <c r="J9" i="29"/>
  <c r="J10" i="29" s="1"/>
  <c r="J19" i="29" s="1"/>
  <c r="J33" i="29" s="1"/>
  <c r="J52" i="29" s="1"/>
  <c r="J56" i="29" s="1"/>
  <c r="J60" i="29" s="1"/>
  <c r="O8" i="29"/>
  <c r="G8" i="29"/>
  <c r="G10" i="29" s="1"/>
  <c r="G19" i="29" s="1"/>
  <c r="G33" i="29" s="1"/>
  <c r="G52" i="29" s="1"/>
  <c r="G56" i="29" s="1"/>
  <c r="G60" i="29" s="1"/>
  <c r="D39" i="29"/>
  <c r="P42" i="36"/>
  <c r="H42" i="36"/>
  <c r="E38" i="29"/>
  <c r="R26" i="29"/>
  <c r="I16" i="29"/>
  <c r="G14" i="29"/>
  <c r="R12" i="29"/>
  <c r="H12" i="29"/>
  <c r="F19" i="28"/>
  <c r="F33" i="28" s="1"/>
  <c r="F52" i="28" s="1"/>
  <c r="F56" i="28" s="1"/>
  <c r="F60" i="28" s="1"/>
  <c r="I19" i="28"/>
  <c r="I33" i="28" s="1"/>
  <c r="I52" i="28" s="1"/>
  <c r="I56" i="28" s="1"/>
  <c r="I60" i="28" s="1"/>
  <c r="F8" i="29"/>
  <c r="F10" i="29" s="1"/>
  <c r="F19" i="29" s="1"/>
  <c r="F33" i="29" s="1"/>
  <c r="F52" i="29" s="1"/>
  <c r="F56" i="29" s="1"/>
  <c r="F60" i="29" s="1"/>
  <c r="L42" i="29"/>
  <c r="N37" i="29"/>
  <c r="N42" i="29" s="1"/>
  <c r="I31" i="29"/>
  <c r="L31" i="29"/>
  <c r="D22" i="29"/>
  <c r="D14" i="37"/>
  <c r="B14" i="37" s="1"/>
  <c r="D13" i="37"/>
  <c r="B13" i="37" s="1"/>
  <c r="D12" i="37"/>
  <c r="B12" i="37" s="1"/>
  <c r="D9" i="37"/>
  <c r="B9" i="37" s="1"/>
  <c r="D8" i="37"/>
  <c r="D38" i="28"/>
  <c r="R31" i="28"/>
  <c r="R23" i="29"/>
  <c r="R16" i="29"/>
  <c r="K13" i="29"/>
  <c r="P12" i="29"/>
  <c r="G12" i="29"/>
  <c r="R19" i="28"/>
  <c r="R33" i="28" s="1"/>
  <c r="R52" i="28" s="1"/>
  <c r="R56" i="28" s="1"/>
  <c r="R60" i="28" s="1"/>
  <c r="H9" i="29"/>
  <c r="M8" i="29"/>
  <c r="E8" i="29"/>
  <c r="D49" i="29"/>
  <c r="B49" i="29" s="1"/>
  <c r="D36" i="29"/>
  <c r="P42" i="29"/>
  <c r="G42" i="29"/>
  <c r="M31" i="29"/>
  <c r="D15" i="29"/>
  <c r="B15" i="29" s="1"/>
  <c r="O10" i="28"/>
  <c r="O19" i="28" s="1"/>
  <c r="O33" i="28" s="1"/>
  <c r="O52" i="28" s="1"/>
  <c r="O56" i="28" s="1"/>
  <c r="O60" i="28" s="1"/>
  <c r="G10" i="28"/>
  <c r="G19" i="28" s="1"/>
  <c r="G33" i="28" s="1"/>
  <c r="G52" i="28" s="1"/>
  <c r="G56" i="28" s="1"/>
  <c r="G60" i="28" s="1"/>
  <c r="M12" i="29"/>
  <c r="N12" i="29" s="1"/>
  <c r="E14" i="29"/>
  <c r="L13" i="29"/>
  <c r="N13" i="29" s="1"/>
  <c r="N16" i="28"/>
  <c r="E16" i="29"/>
  <c r="S33" i="36" l="1"/>
  <c r="S52" i="36" s="1"/>
  <c r="S56" i="36" s="1"/>
  <c r="S60" i="36" s="1"/>
  <c r="K19" i="29"/>
  <c r="K33" i="29" s="1"/>
  <c r="K52" i="29" s="1"/>
  <c r="K56" i="29" s="1"/>
  <c r="K60" i="29" s="1"/>
  <c r="D16" i="29"/>
  <c r="B16" i="29" s="1"/>
  <c r="O10" i="34"/>
  <c r="O19" i="34" s="1"/>
  <c r="D8" i="34"/>
  <c r="D14" i="34"/>
  <c r="B14" i="34" s="1"/>
  <c r="B38" i="3"/>
  <c r="B43" i="3" s="1"/>
  <c r="D43" i="3"/>
  <c r="S31" i="34"/>
  <c r="B8" i="35"/>
  <c r="B10" i="35" s="1"/>
  <c r="B19" i="35" s="1"/>
  <c r="B33" i="35" s="1"/>
  <c r="B52" i="35" s="1"/>
  <c r="B56" i="35" s="1"/>
  <c r="B60" i="35" s="1"/>
  <c r="D10" i="35"/>
  <c r="D19" i="35" s="1"/>
  <c r="N19" i="4"/>
  <c r="N33" i="4" s="1"/>
  <c r="N16" i="4"/>
  <c r="H19" i="27"/>
  <c r="H33" i="27" s="1"/>
  <c r="H53" i="27" s="1"/>
  <c r="H57" i="27" s="1"/>
  <c r="H61" i="27" s="1"/>
  <c r="D38" i="34"/>
  <c r="B38" i="34" s="1"/>
  <c r="I19" i="29"/>
  <c r="I33" i="29" s="1"/>
  <c r="I52" i="29" s="1"/>
  <c r="I56" i="29" s="1"/>
  <c r="I60" i="29" s="1"/>
  <c r="D18" i="29"/>
  <c r="B18" i="29" s="1"/>
  <c r="M56" i="28"/>
  <c r="M60" i="28" s="1"/>
  <c r="N60" i="28" s="1"/>
  <c r="N52" i="28"/>
  <c r="N56" i="28" s="1"/>
  <c r="B36" i="4"/>
  <c r="B43" i="4" s="1"/>
  <c r="D43" i="4"/>
  <c r="L19" i="4"/>
  <c r="L33" i="4" s="1"/>
  <c r="L53" i="4" s="1"/>
  <c r="L57" i="4" s="1"/>
  <c r="L61" i="4" s="1"/>
  <c r="N16" i="29"/>
  <c r="B10" i="3"/>
  <c r="B19" i="3" s="1"/>
  <c r="B31" i="3"/>
  <c r="B22" i="34"/>
  <c r="D50" i="36"/>
  <c r="B45" i="36"/>
  <c r="B50" i="36" s="1"/>
  <c r="E19" i="4"/>
  <c r="E33" i="4" s="1"/>
  <c r="E53" i="4" s="1"/>
  <c r="E57" i="4" s="1"/>
  <c r="E61" i="4" s="1"/>
  <c r="B24" i="34"/>
  <c r="B23" i="29"/>
  <c r="N57" i="1"/>
  <c r="M61" i="1"/>
  <c r="N61" i="1" s="1"/>
  <c r="D16" i="33"/>
  <c r="B16" i="33" s="1"/>
  <c r="E42" i="33"/>
  <c r="B22" i="27"/>
  <c r="D31" i="27"/>
  <c r="F19" i="27"/>
  <c r="F33" i="27" s="1"/>
  <c r="F53" i="27" s="1"/>
  <c r="F57" i="27" s="1"/>
  <c r="F61" i="27" s="1"/>
  <c r="H10" i="29"/>
  <c r="H19" i="29" s="1"/>
  <c r="H33" i="29" s="1"/>
  <c r="H52" i="29" s="1"/>
  <c r="H56" i="29" s="1"/>
  <c r="H60" i="29" s="1"/>
  <c r="D31" i="39"/>
  <c r="E33" i="31"/>
  <c r="E52" i="31" s="1"/>
  <c r="E56" i="31" s="1"/>
  <c r="E60" i="31" s="1"/>
  <c r="R64" i="5"/>
  <c r="R67" i="5"/>
  <c r="D42" i="39"/>
  <c r="N52" i="30"/>
  <c r="N56" i="30" s="1"/>
  <c r="M56" i="30"/>
  <c r="M60" i="30" s="1"/>
  <c r="N60" i="30" s="1"/>
  <c r="D10" i="37"/>
  <c r="D19" i="37" s="1"/>
  <c r="D33" i="37" s="1"/>
  <c r="D52" i="37" s="1"/>
  <c r="D56" i="37" s="1"/>
  <c r="D60" i="37" s="1"/>
  <c r="B8" i="37"/>
  <c r="B10" i="37" s="1"/>
  <c r="B19" i="37" s="1"/>
  <c r="B33" i="37" s="1"/>
  <c r="B52" i="37" s="1"/>
  <c r="B56" i="37" s="1"/>
  <c r="B60" i="37" s="1"/>
  <c r="B54" i="29"/>
  <c r="N42" i="33"/>
  <c r="Q19" i="34"/>
  <c r="Q33" i="34" s="1"/>
  <c r="Q52" i="34" s="1"/>
  <c r="Q56" i="34" s="1"/>
  <c r="Q60" i="34" s="1"/>
  <c r="D12" i="4"/>
  <c r="B12" i="4" s="1"/>
  <c r="L52" i="36"/>
  <c r="L56" i="36" s="1"/>
  <c r="L60" i="36" s="1"/>
  <c r="K19" i="33"/>
  <c r="K33" i="33" s="1"/>
  <c r="K52" i="33" s="1"/>
  <c r="K56" i="33" s="1"/>
  <c r="K60" i="33" s="1"/>
  <c r="N12" i="34"/>
  <c r="D31" i="35"/>
  <c r="B22" i="33"/>
  <c r="D31" i="33"/>
  <c r="D10" i="5"/>
  <c r="F22" i="5"/>
  <c r="M56" i="26"/>
  <c r="M60" i="26" s="1"/>
  <c r="N60" i="26" s="1"/>
  <c r="N52" i="26"/>
  <c r="N56" i="26" s="1"/>
  <c r="G19" i="33"/>
  <c r="G33" i="33" s="1"/>
  <c r="G52" i="33" s="1"/>
  <c r="G56" i="33" s="1"/>
  <c r="G60" i="33" s="1"/>
  <c r="F19" i="33"/>
  <c r="F33" i="33" s="1"/>
  <c r="F52" i="33" s="1"/>
  <c r="F56" i="33" s="1"/>
  <c r="F60" i="33" s="1"/>
  <c r="B38" i="26"/>
  <c r="B42" i="26" s="1"/>
  <c r="D42" i="26"/>
  <c r="B56" i="30"/>
  <c r="B60" i="30" s="1"/>
  <c r="D10" i="26"/>
  <c r="D19" i="26" s="1"/>
  <c r="D33" i="26" s="1"/>
  <c r="D52" i="26" s="1"/>
  <c r="D56" i="26" s="1"/>
  <c r="D60" i="26" s="1"/>
  <c r="B8" i="26"/>
  <c r="B10" i="26" s="1"/>
  <c r="B19" i="26" s="1"/>
  <c r="D8" i="31"/>
  <c r="E43" i="27"/>
  <c r="E53" i="27" s="1"/>
  <c r="E57" i="27" s="1"/>
  <c r="E61" i="27" s="1"/>
  <c r="B13" i="31"/>
  <c r="F52" i="38"/>
  <c r="F56" i="38" s="1"/>
  <c r="F60" i="38" s="1"/>
  <c r="K52" i="38"/>
  <c r="K56" i="38" s="1"/>
  <c r="K60" i="38" s="1"/>
  <c r="B50" i="33"/>
  <c r="E42" i="29"/>
  <c r="D38" i="29"/>
  <c r="B38" i="29" s="1"/>
  <c r="B8" i="1"/>
  <c r="B10" i="1" s="1"/>
  <c r="B19" i="1" s="1"/>
  <c r="B33" i="1" s="1"/>
  <c r="B53" i="1" s="1"/>
  <c r="B57" i="1" s="1"/>
  <c r="B61" i="1" s="1"/>
  <c r="D10" i="1"/>
  <c r="D19" i="1" s="1"/>
  <c r="D33" i="1" s="1"/>
  <c r="M57" i="3"/>
  <c r="M61" i="3" s="1"/>
  <c r="N61" i="3" s="1"/>
  <c r="N53" i="3"/>
  <c r="N57" i="3" s="1"/>
  <c r="F52" i="34"/>
  <c r="F56" i="34" s="1"/>
  <c r="F60" i="34" s="1"/>
  <c r="D42" i="31"/>
  <c r="B36" i="31"/>
  <c r="B42" i="31" s="1"/>
  <c r="D42" i="29"/>
  <c r="B36" i="29"/>
  <c r="B42" i="29" s="1"/>
  <c r="G19" i="36"/>
  <c r="G33" i="36" s="1"/>
  <c r="G52" i="36" s="1"/>
  <c r="G56" i="36" s="1"/>
  <c r="G60" i="36" s="1"/>
  <c r="D9" i="29"/>
  <c r="B9" i="29" s="1"/>
  <c r="Q19" i="36"/>
  <c r="Q33" i="36" s="1"/>
  <c r="Q52" i="36" s="1"/>
  <c r="Q56" i="36" s="1"/>
  <c r="Q60" i="36" s="1"/>
  <c r="D16" i="36"/>
  <c r="B16" i="36" s="1"/>
  <c r="P19" i="4"/>
  <c r="P33" i="4" s="1"/>
  <c r="P53" i="4" s="1"/>
  <c r="P57" i="4" s="1"/>
  <c r="D12" i="34"/>
  <c r="B12" i="34" s="1"/>
  <c r="B43" i="1"/>
  <c r="J19" i="34"/>
  <c r="J33" i="34" s="1"/>
  <c r="J52" i="34" s="1"/>
  <c r="J56" i="34" s="1"/>
  <c r="J60" i="34" s="1"/>
  <c r="D50" i="34"/>
  <c r="B45" i="34"/>
  <c r="B50" i="34" s="1"/>
  <c r="B31" i="35"/>
  <c r="D43" i="27"/>
  <c r="B36" i="27"/>
  <c r="J19" i="33"/>
  <c r="J33" i="33" s="1"/>
  <c r="J52" i="33" s="1"/>
  <c r="J56" i="33" s="1"/>
  <c r="J60" i="33" s="1"/>
  <c r="D42" i="34"/>
  <c r="B36" i="34"/>
  <c r="B42" i="34" s="1"/>
  <c r="E10" i="33"/>
  <c r="E19" i="33" s="1"/>
  <c r="E33" i="33" s="1"/>
  <c r="E52" i="33" s="1"/>
  <c r="E56" i="33" s="1"/>
  <c r="E60" i="33" s="1"/>
  <c r="D10" i="32"/>
  <c r="D19" i="32" s="1"/>
  <c r="D33" i="32" s="1"/>
  <c r="D52" i="32" s="1"/>
  <c r="D56" i="32" s="1"/>
  <c r="D60" i="32" s="1"/>
  <c r="B8" i="32"/>
  <c r="B10" i="32" s="1"/>
  <c r="B19" i="32" s="1"/>
  <c r="B33" i="32" s="1"/>
  <c r="B52" i="32" s="1"/>
  <c r="B56" i="32" s="1"/>
  <c r="B60" i="32" s="1"/>
  <c r="R31" i="31"/>
  <c r="R33" i="31" s="1"/>
  <c r="R52" i="31" s="1"/>
  <c r="R56" i="31" s="1"/>
  <c r="R60" i="31" s="1"/>
  <c r="P36" i="5"/>
  <c r="N57" i="5"/>
  <c r="K52" i="31"/>
  <c r="K56" i="31" s="1"/>
  <c r="K60" i="31" s="1"/>
  <c r="D13" i="33"/>
  <c r="B13" i="33" s="1"/>
  <c r="P33" i="27"/>
  <c r="P53" i="27" s="1"/>
  <c r="P57" i="27" s="1"/>
  <c r="B8" i="39"/>
  <c r="B10" i="39" s="1"/>
  <c r="B19" i="39" s="1"/>
  <c r="B33" i="39" s="1"/>
  <c r="B52" i="39" s="1"/>
  <c r="B56" i="39" s="1"/>
  <c r="B60" i="39" s="1"/>
  <c r="D10" i="39"/>
  <c r="D19" i="39" s="1"/>
  <c r="O52" i="31"/>
  <c r="O56" i="31" s="1"/>
  <c r="O60" i="31" s="1"/>
  <c r="D9" i="38"/>
  <c r="B9" i="38" s="1"/>
  <c r="B31" i="26"/>
  <c r="D50" i="33"/>
  <c r="B16" i="31"/>
  <c r="D12" i="29"/>
  <c r="B12" i="29" s="1"/>
  <c r="R33" i="33"/>
  <c r="R52" i="33" s="1"/>
  <c r="R56" i="33" s="1"/>
  <c r="R60" i="33" s="1"/>
  <c r="D10" i="30"/>
  <c r="D19" i="30" s="1"/>
  <c r="D33" i="30" s="1"/>
  <c r="D52" i="30" s="1"/>
  <c r="D56" i="30" s="1"/>
  <c r="D60" i="30" s="1"/>
  <c r="B8" i="30"/>
  <c r="B10" i="30" s="1"/>
  <c r="B19" i="30" s="1"/>
  <c r="B33" i="30" s="1"/>
  <c r="B52" i="30" s="1"/>
  <c r="F19" i="36"/>
  <c r="F33" i="36" s="1"/>
  <c r="F52" i="36" s="1"/>
  <c r="F56" i="36" s="1"/>
  <c r="F60" i="36" s="1"/>
  <c r="N14" i="29"/>
  <c r="R31" i="29"/>
  <c r="D10" i="28"/>
  <c r="D19" i="28" s="1"/>
  <c r="D33" i="28" s="1"/>
  <c r="D52" i="28" s="1"/>
  <c r="D56" i="28" s="1"/>
  <c r="D60" i="28" s="1"/>
  <c r="B8" i="28"/>
  <c r="B10" i="28" s="1"/>
  <c r="B19" i="28" s="1"/>
  <c r="B33" i="28" s="1"/>
  <c r="O10" i="4"/>
  <c r="O19" i="4" s="1"/>
  <c r="O33" i="4" s="1"/>
  <c r="O53" i="4" s="1"/>
  <c r="O57" i="4" s="1"/>
  <c r="O61" i="4" s="1"/>
  <c r="D8" i="4"/>
  <c r="O10" i="36"/>
  <c r="O19" i="36" s="1"/>
  <c r="D8" i="36"/>
  <c r="D14" i="36"/>
  <c r="B14" i="36" s="1"/>
  <c r="E52" i="37"/>
  <c r="E56" i="37" s="1"/>
  <c r="E60" i="37" s="1"/>
  <c r="E53" i="3"/>
  <c r="E57" i="3" s="1"/>
  <c r="E61" i="3" s="1"/>
  <c r="E10" i="29"/>
  <c r="E19" i="29" s="1"/>
  <c r="E33" i="29" s="1"/>
  <c r="E52" i="29" s="1"/>
  <c r="E56" i="29" s="1"/>
  <c r="E60" i="29" s="1"/>
  <c r="B22" i="29"/>
  <c r="B31" i="29" s="1"/>
  <c r="D31" i="29"/>
  <c r="B39" i="29"/>
  <c r="B54" i="36"/>
  <c r="B39" i="36"/>
  <c r="B42" i="36" s="1"/>
  <c r="D9" i="4"/>
  <c r="B9" i="4" s="1"/>
  <c r="E10" i="36"/>
  <c r="E19" i="36" s="1"/>
  <c r="E33" i="36" s="1"/>
  <c r="E52" i="36" s="1"/>
  <c r="E56" i="36" s="1"/>
  <c r="E60" i="36" s="1"/>
  <c r="D50" i="29"/>
  <c r="B45" i="29"/>
  <c r="B50" i="29" s="1"/>
  <c r="D43" i="1"/>
  <c r="I19" i="33"/>
  <c r="I33" i="33" s="1"/>
  <c r="I52" i="33" s="1"/>
  <c r="I56" i="33" s="1"/>
  <c r="I60" i="33" s="1"/>
  <c r="O31" i="34"/>
  <c r="D23" i="34"/>
  <c r="H19" i="34"/>
  <c r="H33" i="34" s="1"/>
  <c r="H52" i="34" s="1"/>
  <c r="H56" i="34" s="1"/>
  <c r="H60" i="34" s="1"/>
  <c r="B50" i="35"/>
  <c r="N9" i="33"/>
  <c r="L10" i="33"/>
  <c r="L19" i="33" s="1"/>
  <c r="L33" i="33" s="1"/>
  <c r="L52" i="33" s="1"/>
  <c r="L56" i="33" s="1"/>
  <c r="L60" i="33" s="1"/>
  <c r="G33" i="31"/>
  <c r="G52" i="31" s="1"/>
  <c r="G56" i="31" s="1"/>
  <c r="G60" i="31" s="1"/>
  <c r="L64" i="5"/>
  <c r="L67" i="5"/>
  <c r="R31" i="27"/>
  <c r="R33" i="27" s="1"/>
  <c r="R53" i="27" s="1"/>
  <c r="R57" i="27" s="1"/>
  <c r="R61" i="27" s="1"/>
  <c r="N8" i="31"/>
  <c r="N10" i="31" s="1"/>
  <c r="N19" i="31" s="1"/>
  <c r="N33" i="31" s="1"/>
  <c r="B30" i="27"/>
  <c r="M10" i="33"/>
  <c r="M19" i="33" s="1"/>
  <c r="M33" i="33" s="1"/>
  <c r="M52" i="33" s="1"/>
  <c r="P10" i="29"/>
  <c r="P19" i="29" s="1"/>
  <c r="P33" i="29" s="1"/>
  <c r="P52" i="29" s="1"/>
  <c r="P56" i="29" s="1"/>
  <c r="P60" i="29" s="1"/>
  <c r="B39" i="27"/>
  <c r="B22" i="38"/>
  <c r="B31" i="38" s="1"/>
  <c r="D31" i="38"/>
  <c r="N60" i="32"/>
  <c r="D14" i="27"/>
  <c r="B14" i="27" s="1"/>
  <c r="G52" i="38"/>
  <c r="G56" i="38" s="1"/>
  <c r="G60" i="38" s="1"/>
  <c r="R33" i="29"/>
  <c r="R52" i="29" s="1"/>
  <c r="R56" i="29" s="1"/>
  <c r="R60" i="29" s="1"/>
  <c r="D53" i="3"/>
  <c r="D57" i="3" s="1"/>
  <c r="D61" i="3" s="1"/>
  <c r="D31" i="4"/>
  <c r="B22" i="4"/>
  <c r="B31" i="4" s="1"/>
  <c r="N8" i="29"/>
  <c r="N10" i="29" s="1"/>
  <c r="M10" i="29"/>
  <c r="M19" i="29" s="1"/>
  <c r="M33" i="29" s="1"/>
  <c r="M52" i="29" s="1"/>
  <c r="L19" i="29"/>
  <c r="L33" i="29" s="1"/>
  <c r="L52" i="29" s="1"/>
  <c r="L56" i="29" s="1"/>
  <c r="L60" i="29" s="1"/>
  <c r="D18" i="36"/>
  <c r="B18" i="36" s="1"/>
  <c r="P64" i="3"/>
  <c r="P61" i="3"/>
  <c r="D13" i="4"/>
  <c r="B13" i="4" s="1"/>
  <c r="M56" i="37"/>
  <c r="M60" i="37" s="1"/>
  <c r="N60" i="37" s="1"/>
  <c r="N52" i="37"/>
  <c r="N56" i="37" s="1"/>
  <c r="D13" i="34"/>
  <c r="B13" i="34" s="1"/>
  <c r="I19" i="34"/>
  <c r="I33" i="34" s="1"/>
  <c r="I52" i="34" s="1"/>
  <c r="I56" i="34" s="1"/>
  <c r="I60" i="34" s="1"/>
  <c r="E33" i="35"/>
  <c r="E52" i="35" s="1"/>
  <c r="E56" i="35" s="1"/>
  <c r="E60" i="35" s="1"/>
  <c r="K19" i="34"/>
  <c r="K33" i="34" s="1"/>
  <c r="K52" i="34" s="1"/>
  <c r="K56" i="34" s="1"/>
  <c r="K60" i="34" s="1"/>
  <c r="N8" i="34"/>
  <c r="N10" i="34" s="1"/>
  <c r="N19" i="34" s="1"/>
  <c r="N33" i="34" s="1"/>
  <c r="D23" i="36"/>
  <c r="O31" i="36"/>
  <c r="O10" i="33"/>
  <c r="O19" i="33" s="1"/>
  <c r="O33" i="33" s="1"/>
  <c r="O52" i="33" s="1"/>
  <c r="O56" i="33" s="1"/>
  <c r="O60" i="33" s="1"/>
  <c r="D8" i="33"/>
  <c r="H19" i="33"/>
  <c r="H33" i="33" s="1"/>
  <c r="H52" i="33" s="1"/>
  <c r="H56" i="33" s="1"/>
  <c r="H60" i="33" s="1"/>
  <c r="D13" i="27"/>
  <c r="B13" i="27" s="1"/>
  <c r="D9" i="33"/>
  <c r="B9" i="33" s="1"/>
  <c r="B45" i="31"/>
  <c r="B50" i="31" s="1"/>
  <c r="D50" i="31"/>
  <c r="B46" i="27"/>
  <c r="B51" i="27" s="1"/>
  <c r="D51" i="27"/>
  <c r="D8" i="27"/>
  <c r="O19" i="27"/>
  <c r="O33" i="27" s="1"/>
  <c r="O53" i="27" s="1"/>
  <c r="O57" i="27" s="1"/>
  <c r="O61" i="27" s="1"/>
  <c r="M56" i="31"/>
  <c r="M60" i="31" s="1"/>
  <c r="N60" i="31" s="1"/>
  <c r="N52" i="31"/>
  <c r="N56" i="31" s="1"/>
  <c r="I67" i="5"/>
  <c r="I64" i="5"/>
  <c r="D8" i="38"/>
  <c r="L10" i="38"/>
  <c r="L19" i="38" s="1"/>
  <c r="L33" i="38" s="1"/>
  <c r="L52" i="38" s="1"/>
  <c r="L56" i="38" s="1"/>
  <c r="L60" i="38" s="1"/>
  <c r="N52" i="32"/>
  <c r="N56" i="32" s="1"/>
  <c r="F10" i="31"/>
  <c r="F19" i="31" s="1"/>
  <c r="F33" i="31" s="1"/>
  <c r="F52" i="31" s="1"/>
  <c r="F56" i="31" s="1"/>
  <c r="F60" i="31" s="1"/>
  <c r="D12" i="27"/>
  <c r="B12" i="27" s="1"/>
  <c r="D42" i="38"/>
  <c r="B36" i="38"/>
  <c r="B42" i="38" s="1"/>
  <c r="G10" i="4"/>
  <c r="G19" i="4" s="1"/>
  <c r="G33" i="4" s="1"/>
  <c r="G53" i="4" s="1"/>
  <c r="G57" i="4" s="1"/>
  <c r="G61" i="4" s="1"/>
  <c r="D9" i="36"/>
  <c r="B9" i="36" s="1"/>
  <c r="H10" i="36"/>
  <c r="H19" i="36" s="1"/>
  <c r="H33" i="36" s="1"/>
  <c r="H52" i="36" s="1"/>
  <c r="H56" i="36" s="1"/>
  <c r="H60" i="36" s="1"/>
  <c r="B46" i="4"/>
  <c r="B51" i="4" s="1"/>
  <c r="D51" i="4"/>
  <c r="D42" i="28"/>
  <c r="B38" i="28"/>
  <c r="B42" i="28" s="1"/>
  <c r="D8" i="29"/>
  <c r="O10" i="29"/>
  <c r="O19" i="29" s="1"/>
  <c r="O33" i="29" s="1"/>
  <c r="O52" i="29" s="1"/>
  <c r="O56" i="29" s="1"/>
  <c r="O60" i="29" s="1"/>
  <c r="B24" i="29"/>
  <c r="P19" i="36"/>
  <c r="P33" i="36" s="1"/>
  <c r="P52" i="36" s="1"/>
  <c r="P56" i="36" s="1"/>
  <c r="P60" i="36" s="1"/>
  <c r="K19" i="36"/>
  <c r="K33" i="36" s="1"/>
  <c r="K52" i="36" s="1"/>
  <c r="K56" i="36" s="1"/>
  <c r="K60" i="36" s="1"/>
  <c r="D38" i="36"/>
  <c r="B38" i="36" s="1"/>
  <c r="D16" i="34"/>
  <c r="B16" i="34" s="1"/>
  <c r="M10" i="36"/>
  <c r="M19" i="36" s="1"/>
  <c r="M33" i="36" s="1"/>
  <c r="M52" i="36" s="1"/>
  <c r="N8" i="36"/>
  <c r="N10" i="36" s="1"/>
  <c r="N19" i="36" s="1"/>
  <c r="N33" i="36" s="1"/>
  <c r="G19" i="34"/>
  <c r="G33" i="34" s="1"/>
  <c r="G52" i="34" s="1"/>
  <c r="G56" i="34" s="1"/>
  <c r="G60" i="34" s="1"/>
  <c r="K19" i="4"/>
  <c r="K33" i="4" s="1"/>
  <c r="K53" i="4" s="1"/>
  <c r="K57" i="4" s="1"/>
  <c r="K61" i="4" s="1"/>
  <c r="M10" i="34"/>
  <c r="M19" i="34" s="1"/>
  <c r="M33" i="34" s="1"/>
  <c r="M52" i="34" s="1"/>
  <c r="M56" i="35"/>
  <c r="M60" i="35" s="1"/>
  <c r="N60" i="35" s="1"/>
  <c r="N52" i="35"/>
  <c r="N56" i="35" s="1"/>
  <c r="B24" i="33"/>
  <c r="S19" i="34"/>
  <c r="S33" i="34" s="1"/>
  <c r="S52" i="34" s="1"/>
  <c r="S56" i="34" s="1"/>
  <c r="S60" i="34" s="1"/>
  <c r="P19" i="34"/>
  <c r="P33" i="34" s="1"/>
  <c r="P52" i="34" s="1"/>
  <c r="P56" i="34" s="1"/>
  <c r="P60" i="34" s="1"/>
  <c r="M19" i="4"/>
  <c r="M33" i="4" s="1"/>
  <c r="M53" i="4" s="1"/>
  <c r="D42" i="33"/>
  <c r="B36" i="33"/>
  <c r="B42" i="33" s="1"/>
  <c r="N16" i="33"/>
  <c r="N19" i="33" s="1"/>
  <c r="N33" i="33" s="1"/>
  <c r="N13" i="27"/>
  <c r="N19" i="27" s="1"/>
  <c r="N33" i="27" s="1"/>
  <c r="M19" i="27"/>
  <c r="M33" i="27" s="1"/>
  <c r="M53" i="27" s="1"/>
  <c r="D12" i="33"/>
  <c r="B12" i="33" s="1"/>
  <c r="P10" i="33"/>
  <c r="P19" i="33" s="1"/>
  <c r="P33" i="33" s="1"/>
  <c r="P52" i="33" s="1"/>
  <c r="P56" i="33" s="1"/>
  <c r="P60" i="33" s="1"/>
  <c r="B22" i="31"/>
  <c r="B31" i="31" s="1"/>
  <c r="D31" i="31"/>
  <c r="D9" i="27"/>
  <c r="B9" i="27" s="1"/>
  <c r="D50" i="38"/>
  <c r="M52" i="38"/>
  <c r="M56" i="38" s="1"/>
  <c r="M60" i="38" s="1"/>
  <c r="J33" i="38"/>
  <c r="J52" i="38" s="1"/>
  <c r="J56" i="38" s="1"/>
  <c r="J60" i="38" s="1"/>
  <c r="D10" i="27" l="1"/>
  <c r="D19" i="27" s="1"/>
  <c r="D33" i="27" s="1"/>
  <c r="D53" i="27" s="1"/>
  <c r="D57" i="27" s="1"/>
  <c r="D61" i="27" s="1"/>
  <c r="B8" i="27"/>
  <c r="B10" i="27" s="1"/>
  <c r="B19" i="27" s="1"/>
  <c r="N53" i="27"/>
  <c r="N57" i="27" s="1"/>
  <c r="M57" i="27"/>
  <c r="M61" i="27" s="1"/>
  <c r="N61" i="27" s="1"/>
  <c r="B31" i="33"/>
  <c r="B31" i="27"/>
  <c r="O33" i="34"/>
  <c r="O52" i="34" s="1"/>
  <c r="O56" i="34" s="1"/>
  <c r="O60" i="34" s="1"/>
  <c r="N52" i="34"/>
  <c r="N56" i="34" s="1"/>
  <c r="M56" i="34"/>
  <c r="M60" i="34" s="1"/>
  <c r="N60" i="34" s="1"/>
  <c r="P64" i="27"/>
  <c r="P61" i="27"/>
  <c r="D53" i="1"/>
  <c r="D57" i="1" s="1"/>
  <c r="D61" i="1" s="1"/>
  <c r="B56" i="29"/>
  <c r="B60" i="29" s="1"/>
  <c r="D33" i="35"/>
  <c r="D52" i="35" s="1"/>
  <c r="D56" i="35" s="1"/>
  <c r="D60" i="35" s="1"/>
  <c r="D10" i="38"/>
  <c r="D19" i="38" s="1"/>
  <c r="D33" i="38" s="1"/>
  <c r="D52" i="38" s="1"/>
  <c r="D56" i="38" s="1"/>
  <c r="D60" i="38" s="1"/>
  <c r="B8" i="38"/>
  <c r="B10" i="38" s="1"/>
  <c r="B19" i="38" s="1"/>
  <c r="B33" i="38" s="1"/>
  <c r="B52" i="38" s="1"/>
  <c r="B56" i="38" s="1"/>
  <c r="B60" i="38" s="1"/>
  <c r="M57" i="4"/>
  <c r="N53" i="4"/>
  <c r="O33" i="36"/>
  <c r="O52" i="36" s="1"/>
  <c r="O56" i="36" s="1"/>
  <c r="O60" i="36" s="1"/>
  <c r="P57" i="5"/>
  <c r="N59" i="5"/>
  <c r="B33" i="26"/>
  <c r="B52" i="26" s="1"/>
  <c r="B56" i="26" s="1"/>
  <c r="B60" i="26" s="1"/>
  <c r="B33" i="3"/>
  <c r="B53" i="3" s="1"/>
  <c r="B57" i="3" s="1"/>
  <c r="B61" i="3" s="1"/>
  <c r="B8" i="33"/>
  <c r="B10" i="33" s="1"/>
  <c r="B19" i="33" s="1"/>
  <c r="D10" i="33"/>
  <c r="D19" i="33" s="1"/>
  <c r="D33" i="33" s="1"/>
  <c r="D52" i="33" s="1"/>
  <c r="D56" i="33" s="1"/>
  <c r="D60" i="33" s="1"/>
  <c r="B23" i="34"/>
  <c r="B31" i="34" s="1"/>
  <c r="D31" i="34"/>
  <c r="N19" i="29"/>
  <c r="N33" i="29" s="1"/>
  <c r="B8" i="36"/>
  <c r="B10" i="36" s="1"/>
  <c r="B19" i="36" s="1"/>
  <c r="D10" i="36"/>
  <c r="D19" i="36" s="1"/>
  <c r="B8" i="31"/>
  <c r="B10" i="31" s="1"/>
  <c r="B19" i="31" s="1"/>
  <c r="B33" i="31" s="1"/>
  <c r="B52" i="31" s="1"/>
  <c r="B56" i="31" s="1"/>
  <c r="B60" i="31" s="1"/>
  <c r="D10" i="31"/>
  <c r="D19" i="31" s="1"/>
  <c r="D33" i="31" s="1"/>
  <c r="D52" i="31" s="1"/>
  <c r="D56" i="31" s="1"/>
  <c r="D60" i="31" s="1"/>
  <c r="N52" i="36"/>
  <c r="N56" i="36" s="1"/>
  <c r="M56" i="36"/>
  <c r="M60" i="36" s="1"/>
  <c r="N60" i="36" s="1"/>
  <c r="B8" i="29"/>
  <c r="B10" i="29" s="1"/>
  <c r="B19" i="29" s="1"/>
  <c r="B33" i="29" s="1"/>
  <c r="B52" i="29" s="1"/>
  <c r="D10" i="29"/>
  <c r="D19" i="29" s="1"/>
  <c r="D33" i="29" s="1"/>
  <c r="D52" i="29" s="1"/>
  <c r="D56" i="29" s="1"/>
  <c r="D60" i="29" s="1"/>
  <c r="B23" i="36"/>
  <c r="B31" i="36" s="1"/>
  <c r="D31" i="36"/>
  <c r="D10" i="4"/>
  <c r="D19" i="4" s="1"/>
  <c r="D33" i="4" s="1"/>
  <c r="D53" i="4" s="1"/>
  <c r="D57" i="4" s="1"/>
  <c r="D61" i="4" s="1"/>
  <c r="B8" i="4"/>
  <c r="B10" i="4" s="1"/>
  <c r="B19" i="4" s="1"/>
  <c r="B33" i="4" s="1"/>
  <c r="B53" i="4" s="1"/>
  <c r="B57" i="4" s="1"/>
  <c r="B61" i="4" s="1"/>
  <c r="B43" i="27"/>
  <c r="P64" i="4"/>
  <c r="P61" i="4"/>
  <c r="D22" i="5"/>
  <c r="F36" i="5"/>
  <c r="N52" i="29"/>
  <c r="N56" i="29" s="1"/>
  <c r="M56" i="29"/>
  <c r="M60" i="29" s="1"/>
  <c r="N60" i="29" s="1"/>
  <c r="N52" i="33"/>
  <c r="N56" i="33" s="1"/>
  <c r="M56" i="33"/>
  <c r="M60" i="33" s="1"/>
  <c r="N60" i="33" s="1"/>
  <c r="B52" i="28"/>
  <c r="B56" i="28" s="1"/>
  <c r="B60" i="28" s="1"/>
  <c r="D33" i="39"/>
  <c r="D52" i="39" s="1"/>
  <c r="D56" i="39" s="1"/>
  <c r="D60" i="39" s="1"/>
  <c r="D42" i="36"/>
  <c r="B8" i="34"/>
  <c r="B10" i="34" s="1"/>
  <c r="B19" i="34" s="1"/>
  <c r="D10" i="34"/>
  <c r="D19" i="34" s="1"/>
  <c r="D33" i="34" s="1"/>
  <c r="D52" i="34" s="1"/>
  <c r="D56" i="34" s="1"/>
  <c r="D60" i="34" s="1"/>
  <c r="B33" i="34" l="1"/>
  <c r="B52" i="34" s="1"/>
  <c r="B56" i="34" s="1"/>
  <c r="B60" i="34" s="1"/>
  <c r="D33" i="36"/>
  <c r="D52" i="36" s="1"/>
  <c r="D56" i="36" s="1"/>
  <c r="D60" i="36" s="1"/>
  <c r="P59" i="5"/>
  <c r="N64" i="5"/>
  <c r="P64" i="5" s="1"/>
  <c r="N67" i="5"/>
  <c r="P67" i="5" s="1"/>
  <c r="B33" i="36"/>
  <c r="B52" i="36" s="1"/>
  <c r="B56" i="36" s="1"/>
  <c r="B60" i="36" s="1"/>
  <c r="D36" i="5"/>
  <c r="F57" i="5"/>
  <c r="B33" i="27"/>
  <c r="B53" i="27" s="1"/>
  <c r="B57" i="27" s="1"/>
  <c r="B61" i="27" s="1"/>
  <c r="N57" i="4"/>
  <c r="M61" i="4"/>
  <c r="N61" i="4" s="1"/>
  <c r="B33" i="33"/>
  <c r="B52" i="33" s="1"/>
  <c r="B56" i="33" s="1"/>
  <c r="B60" i="33" s="1"/>
  <c r="D57" i="5" l="1"/>
  <c r="F59" i="5"/>
  <c r="S57" i="5"/>
  <c r="S59" i="5" l="1"/>
  <c r="D59" i="5"/>
  <c r="F67" i="5"/>
  <c r="F64" i="5"/>
  <c r="D64" i="5" s="1"/>
  <c r="D67" i="5" l="1"/>
  <c r="D70" i="5"/>
  <c r="D71" i="5" s="1"/>
</calcChain>
</file>

<file path=xl/comments1.xml><?xml version="1.0" encoding="utf-8"?>
<comments xmlns="http://schemas.openxmlformats.org/spreadsheetml/2006/main">
  <authors>
    <author>gvaughn</author>
  </authors>
  <commentList>
    <comment ref="G21" authorId="0" shapeId="0">
      <text>
        <r>
          <rPr>
            <sz val="8"/>
            <color indexed="81"/>
            <rFont val="Tahoma"/>
          </rPr>
          <t xml:space="preserve">regulatory assets 698
</t>
        </r>
      </text>
    </comment>
    <comment ref="H21" authorId="0" shapeId="0">
      <text>
        <r>
          <rPr>
            <b/>
            <sz val="8"/>
            <color indexed="81"/>
            <rFont val="Tahoma"/>
          </rPr>
          <t>Citrus YTD doesn't agree w/ Co. 372 because there was a '98 year end adjustment to 1N9.</t>
        </r>
        <r>
          <rPr>
            <sz val="8"/>
            <color indexed="81"/>
            <rFont val="Tahoma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</rPr>
          <t>underground gas storage -32
other -30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<sst xmlns="http://schemas.openxmlformats.org/spreadsheetml/2006/main" count="1262" uniqueCount="126">
  <si>
    <t>(In Thousands)</t>
  </si>
  <si>
    <t xml:space="preserve">    Oil and gas exploration expenses</t>
  </si>
  <si>
    <t>Statement of Consolidated Cash Flows</t>
  </si>
  <si>
    <t>OTHER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</si>
  <si>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</si>
  <si>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</si>
  <si>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</si>
  <si>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</si>
  <si>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</si>
  <si>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</si>
  <si>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</si>
  <si>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</si>
  <si>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</si>
  <si>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</si>
  <si>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</si>
  <si>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</si>
  <si>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</si>
  <si>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</si>
  <si>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</si>
  <si>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 xml:space="preserve">  Net Cash Provided by Financing Activities</t>
  </si>
  <si>
    <t xml:space="preserve">   A/R, A/P - Intercompany</t>
  </si>
  <si>
    <t xml:space="preserve">   A/R, A/P - Corp</t>
  </si>
  <si>
    <t xml:space="preserve">    Gains on sales of assets and investments</t>
  </si>
  <si>
    <t>Acquisition of subsidiary stock</t>
  </si>
  <si>
    <t>Proceeds from sale of assets and investments</t>
  </si>
  <si>
    <t>INC (DEC) IN CASH &amp; CASH EQUIV, I/C CASH FROM CORP</t>
  </si>
  <si>
    <t>INC (DEC) IN CASH &amp; CASH EQUIV</t>
  </si>
  <si>
    <t>INC (DEC) INTERCOMPANY CASH FROM CORPORATE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</si>
  <si>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</si>
  <si>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</si>
  <si>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</si>
  <si>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</si>
  <si>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</si>
  <si>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</si>
  <si>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</si>
  <si>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</si>
  <si>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</si>
  <si>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</si>
  <si>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</si>
  <si>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</si>
  <si>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</si>
  <si>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</si>
  <si>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</si>
  <si>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</si>
  <si>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</si>
  <si>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</si>
  <si>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</si>
  <si>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Other financing activities, net</t>
  </si>
  <si>
    <t>Other financing activities - I/C</t>
  </si>
  <si>
    <t xml:space="preserve"> NI after financing costs (excluding cons subs equity earn)</t>
  </si>
  <si>
    <t>Change in total obligations</t>
  </si>
  <si>
    <t>Change in other obligations</t>
  </si>
  <si>
    <t>TOTAL</t>
  </si>
  <si>
    <t>Enron Gas Pipeline Group</t>
  </si>
  <si>
    <t>GPG</t>
  </si>
  <si>
    <t>NNG</t>
  </si>
  <si>
    <t>TW</t>
  </si>
  <si>
    <t>EC</t>
  </si>
  <si>
    <t>NP</t>
  </si>
  <si>
    <t>BM</t>
  </si>
  <si>
    <t>HPLO</t>
  </si>
  <si>
    <t>HPL</t>
  </si>
  <si>
    <t>LRC</t>
  </si>
  <si>
    <t>LIQUIDS</t>
  </si>
  <si>
    <t>DOMESTIC</t>
  </si>
  <si>
    <t>GATHER</t>
  </si>
  <si>
    <t>SERVICE</t>
  </si>
  <si>
    <t>COS</t>
  </si>
  <si>
    <t>Equity investments</t>
  </si>
  <si>
    <t>Financing and merchant investments</t>
  </si>
  <si>
    <t>difference</t>
  </si>
  <si>
    <t>0660 per corporate hyperion</t>
  </si>
  <si>
    <t>HPLPO</t>
  </si>
  <si>
    <t>For the 3 months ended March 31, 1999</t>
  </si>
  <si>
    <t xml:space="preserve">   Exchange Payable</t>
  </si>
  <si>
    <t xml:space="preserve">   Exchange Receivable</t>
  </si>
  <si>
    <t>Dividends paid</t>
  </si>
  <si>
    <t>Transfer of equity from Co. 100 to Co. 104</t>
  </si>
  <si>
    <t>Black Marlin:</t>
  </si>
  <si>
    <t>1466-011</t>
  </si>
  <si>
    <t>1460-011</t>
  </si>
  <si>
    <t>Service Cos:</t>
  </si>
  <si>
    <t>JO 00001</t>
  </si>
  <si>
    <t>Teresa Quarterly Div</t>
  </si>
  <si>
    <t>A/R from Co. 057</t>
  </si>
  <si>
    <t>Balance</t>
  </si>
  <si>
    <t>Current Month - March 1999</t>
  </si>
  <si>
    <t>CAPEX - BM</t>
  </si>
  <si>
    <t>NNG Capital Adds</t>
  </si>
  <si>
    <t xml:space="preserve">  Capex - CF</t>
  </si>
  <si>
    <t>NNG:</t>
  </si>
  <si>
    <t>Co. 179</t>
  </si>
  <si>
    <t>Co. 53K (fair value)</t>
  </si>
  <si>
    <t xml:space="preserve">  Other Financing - CF</t>
  </si>
  <si>
    <t xml:space="preserve">  Other, net - CF</t>
  </si>
  <si>
    <t xml:space="preserve">  Net 0660 - CF</t>
  </si>
  <si>
    <t>cell D59</t>
  </si>
  <si>
    <t>Check numbers from Hyperion Report # 9010 Line 0660</t>
  </si>
  <si>
    <t>GROUP</t>
  </si>
  <si>
    <t>For the 1 month ended January 31, 2000</t>
  </si>
  <si>
    <t>EOTT</t>
  </si>
  <si>
    <t>Changes in components of working capital</t>
  </si>
  <si>
    <t>GPG &amp; EOTT</t>
  </si>
  <si>
    <t xml:space="preserve">       CONSOLIDATED</t>
  </si>
  <si>
    <t>Underground Storage,Salvage &amp; Removal Costs</t>
  </si>
  <si>
    <t>EOTT Advances</t>
  </si>
  <si>
    <t>Interest on GP Work Cap Loan(23Q)</t>
  </si>
  <si>
    <t>For the 2 months ended February 29, 2000</t>
  </si>
  <si>
    <t>For the 1 month ended February 29, 2000</t>
  </si>
  <si>
    <t>For the 1 month ended March 31, 2000</t>
  </si>
  <si>
    <t>For the 3 months ended March 31, 2000</t>
  </si>
  <si>
    <t>For the 4 months ended April 30, 2000</t>
  </si>
  <si>
    <t>For the 1 month ended April 30, 2000</t>
  </si>
  <si>
    <t>EOTT Revolver and API's</t>
  </si>
  <si>
    <t>For the 5 months ended May 31, 2000</t>
  </si>
  <si>
    <t>For the 1 month ended May 31, 2000</t>
  </si>
  <si>
    <t>For the 6 months ended June 30, 2000</t>
  </si>
  <si>
    <t>For the 1 month ended June 30, 2000</t>
  </si>
  <si>
    <t>For the 1 month ended July 31, 2000</t>
  </si>
  <si>
    <t>For the 7 months ended July 31, 2000</t>
  </si>
  <si>
    <t>GPG CASH</t>
  </si>
  <si>
    <t xml:space="preserve">SERVICES </t>
  </si>
  <si>
    <t>For the 1 month ended August 31, 2000</t>
  </si>
  <si>
    <t>For the 9 months ended September 30, 2000</t>
  </si>
  <si>
    <t>For the 8 months ended August 30, 2000</t>
  </si>
  <si>
    <t>For the 1 month ended September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</si>
</sst>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b/>
      <sz val="8"/>
      <name val="Arial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1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6" fillId="2" borderId="0" xfId="0" applyFont="1" applyFill="1" applyAlignment="1" applyProtection="1">
      <alignment horizontal="left"/>
    </xf>
    <xf numFmtId="37" fontId="0" fillId="2" borderId="0" xfId="0" applyFont="1" applyFill="1"/>
    <xf numFmtId="174" fontId="0" fillId="2" borderId="0" xfId="0" applyNumberFormat="1" applyFont="1" applyFill="1" applyAlignment="1">
      <alignment horizontal="left"/>
    </xf>
    <xf numFmtId="18" fontId="0" fillId="2" borderId="0" xfId="0" applyNumberFormat="1" applyFont="1" applyFill="1" applyAlignment="1">
      <alignment horizontal="left"/>
    </xf>
    <xf numFmtId="37" fontId="13" fillId="2" borderId="0" xfId="0" applyFont="1" applyFill="1" applyBorder="1" applyAlignment="1" applyProtection="1">
      <alignment horizontal="center"/>
    </xf>
    <xf numFmtId="37" fontId="13" fillId="2" borderId="1" xfId="0" applyFont="1" applyFill="1" applyBorder="1" applyAlignment="1" applyProtection="1">
      <alignment horizontal="center"/>
    </xf>
    <xf numFmtId="37" fontId="0" fillId="2" borderId="0" xfId="0" applyFont="1" applyFill="1" applyAlignment="1" applyProtection="1">
      <alignment horizontal="left"/>
    </xf>
    <xf numFmtId="37" fontId="0" fillId="2" borderId="0" xfId="0" applyNumberFormat="1" applyFont="1" applyFill="1" applyBorder="1" applyProtection="1"/>
    <xf numFmtId="37" fontId="0" fillId="2" borderId="0" xfId="0" applyFont="1" applyFill="1" applyProtection="1">
      <protection locked="0"/>
    </xf>
    <xf numFmtId="37" fontId="8" fillId="2" borderId="0" xfId="0" applyFont="1" applyFill="1" applyAlignment="1" applyProtection="1">
      <alignment horizontal="center"/>
    </xf>
    <xf numFmtId="37" fontId="12" fillId="2" borderId="0" xfId="0" applyFont="1" applyFill="1" applyAlignment="1">
      <alignment horizontal="center"/>
    </xf>
    <xf numFmtId="37" fontId="0" fillId="2" borderId="0" xfId="0" quotePrefix="1" applyFill="1" applyAlignment="1" applyProtection="1">
      <alignment horizontal="left"/>
    </xf>
    <xf numFmtId="37" fontId="10" fillId="2" borderId="0" xfId="0" applyFont="1" applyFill="1"/>
    <xf numFmtId="37" fontId="0" fillId="2" borderId="0" xfId="0" applyFill="1" applyAlignment="1" applyProtection="1">
      <alignment horizontal="left"/>
    </xf>
    <xf numFmtId="37" fontId="9" fillId="2" borderId="0" xfId="0" applyFont="1" applyFill="1" applyAlignment="1" applyProtection="1">
      <alignment horizontal="left"/>
    </xf>
    <xf numFmtId="37" fontId="9" fillId="2" borderId="0" xfId="0" quotePrefix="1" applyFont="1" applyFill="1" applyAlignment="1" applyProtection="1">
      <alignment horizontal="left"/>
    </xf>
    <xf numFmtId="37" fontId="10" fillId="2" borderId="0" xfId="0" applyFont="1" applyFill="1" applyProtection="1"/>
    <xf numFmtId="37" fontId="0" fillId="2" borderId="1" xfId="0" applyNumberFormat="1" applyFont="1" applyFill="1" applyBorder="1" applyProtection="1"/>
    <xf numFmtId="37" fontId="8" fillId="2" borderId="0" xfId="0" quotePrefix="1" applyFont="1" applyFill="1" applyAlignment="1" applyProtection="1">
      <alignment horizontal="center"/>
    </xf>
    <xf numFmtId="37" fontId="10" fillId="2" borderId="1" xfId="0" applyFont="1" applyFill="1" applyBorder="1"/>
    <xf numFmtId="37" fontId="0" fillId="2" borderId="0" xfId="0" quotePrefix="1" applyNumberFormat="1" applyFont="1" applyFill="1" applyBorder="1" applyAlignment="1" applyProtection="1">
      <alignment horizontal="right"/>
    </xf>
    <xf numFmtId="37" fontId="0" fillId="2" borderId="2" xfId="0" applyNumberFormat="1" applyFont="1" applyFill="1" applyBorder="1" applyProtection="1"/>
    <xf numFmtId="37" fontId="0" fillId="2" borderId="0" xfId="0" quotePrefix="1" applyFill="1" applyAlignment="1">
      <alignment horizontal="left"/>
    </xf>
    <xf numFmtId="37" fontId="0" fillId="2" borderId="0" xfId="0" applyFill="1"/>
    <xf numFmtId="37" fontId="0" fillId="2" borderId="0" xfId="0" applyFont="1" applyFill="1" applyBorder="1"/>
    <xf numFmtId="37" fontId="11" fillId="2" borderId="0" xfId="0" quotePrefix="1" applyFont="1" applyFill="1" applyBorder="1" applyAlignment="1" applyProtection="1">
      <alignment horizontal="left"/>
    </xf>
    <xf numFmtId="37" fontId="10" fillId="2" borderId="1" xfId="0" applyNumberFormat="1" applyFont="1" applyFill="1" applyBorder="1" applyProtection="1"/>
    <xf numFmtId="37" fontId="0" fillId="2" borderId="3" xfId="0" applyNumberFormat="1" applyFont="1" applyFill="1" applyBorder="1" applyProtection="1"/>
    <xf numFmtId="37" fontId="0" fillId="2" borderId="0" xfId="0" applyFont="1" applyFill="1" applyBorder="1" applyAlignment="1" applyProtection="1">
      <alignment horizontal="left"/>
    </xf>
    <xf numFmtId="37" fontId="10" fillId="2" borderId="0" xfId="0" applyFont="1" applyFill="1" applyBorder="1"/>
    <xf numFmtId="37" fontId="0" fillId="2" borderId="0" xfId="0" applyFont="1" applyFill="1" applyBorder="1" applyAlignment="1">
      <alignment horizontal="center"/>
    </xf>
    <xf numFmtId="37" fontId="0" fillId="2" borderId="3" xfId="0" applyFont="1" applyFill="1" applyBorder="1"/>
    <xf numFmtId="37" fontId="6" fillId="2" borderId="0" xfId="0" applyFont="1" applyFill="1" applyBorder="1" applyAlignment="1" applyProtection="1">
      <alignment horizontal="left"/>
    </xf>
    <xf numFmtId="49" fontId="0" fillId="2" borderId="0" xfId="0" applyNumberFormat="1" applyFont="1" applyFill="1" applyBorder="1" applyProtection="1">
      <protection locked="0"/>
    </xf>
    <xf numFmtId="37" fontId="7" fillId="2" borderId="0" xfId="0" applyFont="1" applyFill="1" applyBorder="1" applyAlignment="1" applyProtection="1">
      <alignment horizontal="left"/>
    </xf>
    <xf numFmtId="37" fontId="14" fillId="2" borderId="0" xfId="0" applyFont="1" applyFill="1"/>
    <xf numFmtId="37" fontId="14" fillId="2" borderId="0" xfId="0" quotePrefix="1" applyNumberFormat="1" applyFont="1" applyFill="1" applyBorder="1" applyAlignment="1" applyProtection="1">
      <alignment horizontal="right"/>
    </xf>
    <xf numFmtId="37" fontId="14" fillId="2" borderId="1" xfId="0" applyFont="1" applyFill="1" applyBorder="1"/>
    <xf numFmtId="37" fontId="0" fillId="2" borderId="0" xfId="0" applyFill="1" applyAlignment="1" applyProtection="1">
      <alignment horizontal="center"/>
      <protection locked="0"/>
    </xf>
    <xf numFmtId="37" fontId="0" fillId="2" borderId="0" xfId="0" quotePrefix="1" applyFill="1"/>
    <xf numFmtId="174" fontId="14" fillId="2" borderId="0" xfId="0" applyNumberFormat="1" applyFont="1" applyFill="1" applyAlignment="1">
      <alignment horizontal="left"/>
    </xf>
    <xf numFmtId="37" fontId="0" fillId="0" borderId="4" xfId="0" applyBorder="1"/>
    <xf numFmtId="37" fontId="12" fillId="0" borderId="0" xfId="0" applyFont="1" applyAlignment="1">
      <alignment horizontal="center"/>
    </xf>
    <xf numFmtId="37" fontId="12" fillId="0" borderId="0" xfId="0" applyFont="1"/>
    <xf numFmtId="37" fontId="17" fillId="2" borderId="0" xfId="0" applyFont="1" applyFill="1" applyBorder="1" applyAlignment="1" applyProtection="1">
      <alignment horizontal="left"/>
    </xf>
    <xf numFmtId="37" fontId="18" fillId="2" borderId="0" xfId="0" applyFont="1" applyFill="1" applyBorder="1"/>
    <xf numFmtId="49" fontId="18" fillId="2" borderId="0" xfId="0" applyNumberFormat="1" applyFont="1" applyFill="1" applyBorder="1" applyProtection="1">
      <protection locked="0"/>
    </xf>
    <xf numFmtId="37" fontId="18" fillId="2" borderId="0" xfId="0" applyFont="1" applyFill="1"/>
    <xf numFmtId="37" fontId="17" fillId="2" borderId="0" xfId="0" applyFont="1" applyFill="1" applyAlignment="1" applyProtection="1">
      <alignment horizontal="left"/>
    </xf>
    <xf numFmtId="174" fontId="18" fillId="2" borderId="0" xfId="0" applyNumberFormat="1" applyFont="1" applyFill="1" applyAlignment="1">
      <alignment horizontal="left"/>
    </xf>
    <xf numFmtId="18" fontId="18" fillId="2" borderId="0" xfId="0" applyNumberFormat="1" applyFont="1" applyFill="1" applyAlignment="1">
      <alignment horizontal="left"/>
    </xf>
    <xf numFmtId="37" fontId="19" fillId="2" borderId="0" xfId="0" quotePrefix="1" applyFont="1" applyFill="1" applyBorder="1" applyAlignment="1" applyProtection="1">
      <alignment horizontal="left"/>
    </xf>
    <xf numFmtId="37" fontId="18" fillId="2" borderId="0" xfId="0" applyFont="1" applyFill="1" applyBorder="1" applyAlignment="1">
      <alignment horizontal="center"/>
    </xf>
    <xf numFmtId="37" fontId="17" fillId="2" borderId="1" xfId="0" applyNumberFormat="1" applyFont="1" applyFill="1" applyBorder="1" applyAlignment="1" applyProtection="1">
      <alignment horizontal="left"/>
    </xf>
    <xf numFmtId="37" fontId="18" fillId="2" borderId="1" xfId="0" applyFont="1" applyFill="1" applyBorder="1"/>
    <xf numFmtId="37" fontId="17" fillId="2" borderId="1" xfId="0" applyFont="1" applyFill="1" applyBorder="1" applyAlignment="1" applyProtection="1">
      <alignment horizontal="center"/>
    </xf>
    <xf numFmtId="37" fontId="17" fillId="2" borderId="0" xfId="0" applyFont="1" applyFill="1" applyBorder="1" applyAlignment="1" applyProtection="1">
      <alignment horizontal="center"/>
    </xf>
    <xf numFmtId="37" fontId="17" fillId="2" borderId="0" xfId="0" applyFont="1" applyFill="1" applyAlignment="1">
      <alignment horizontal="center"/>
    </xf>
    <xf numFmtId="37" fontId="20" fillId="2" borderId="0" xfId="0" applyFont="1" applyFill="1" applyBorder="1" applyAlignment="1" applyProtection="1">
      <alignment horizontal="left"/>
    </xf>
    <xf numFmtId="37" fontId="17" fillId="2" borderId="3" xfId="0" applyNumberFormat="1" applyFont="1" applyFill="1" applyBorder="1" applyAlignment="1" applyProtection="1">
      <alignment horizontal="center"/>
    </xf>
    <xf numFmtId="37" fontId="17" fillId="2" borderId="1" xfId="0" applyFont="1" applyFill="1" applyBorder="1" applyAlignment="1">
      <alignment horizontal="center"/>
    </xf>
    <xf numFmtId="37" fontId="18" fillId="2" borderId="0" xfId="0" applyFont="1" applyFill="1" applyAlignment="1" applyProtection="1">
      <alignment horizontal="left"/>
    </xf>
    <xf numFmtId="37" fontId="18" fillId="2" borderId="0" xfId="0" quotePrefix="1" applyNumberFormat="1" applyFont="1" applyFill="1" applyBorder="1" applyAlignment="1" applyProtection="1">
      <alignment horizontal="right"/>
    </xf>
    <xf numFmtId="37" fontId="18" fillId="2" borderId="0" xfId="0" applyFont="1" applyFill="1" applyAlignment="1" applyProtection="1">
      <alignment horizontal="center"/>
      <protection locked="0"/>
    </xf>
    <xf numFmtId="37" fontId="18" fillId="2" borderId="0" xfId="0" applyFont="1" applyFill="1" applyProtection="1">
      <protection locked="0"/>
    </xf>
    <xf numFmtId="37" fontId="21" fillId="2" borderId="0" xfId="0" applyFont="1" applyFill="1" applyAlignment="1" applyProtection="1">
      <alignment horizontal="center"/>
    </xf>
    <xf numFmtId="37" fontId="18" fillId="2" borderId="0" xfId="0" quotePrefix="1" applyFont="1" applyFill="1" applyAlignment="1" applyProtection="1">
      <alignment horizontal="left"/>
    </xf>
    <xf numFmtId="37" fontId="22" fillId="2" borderId="0" xfId="0" applyFont="1" applyFill="1"/>
    <xf numFmtId="37" fontId="18" fillId="2" borderId="1" xfId="0" quotePrefix="1" applyNumberFormat="1" applyFont="1" applyFill="1" applyBorder="1" applyAlignment="1" applyProtection="1">
      <alignment horizontal="right"/>
    </xf>
    <xf numFmtId="37" fontId="22" fillId="2" borderId="1" xfId="0" applyFont="1" applyFill="1" applyBorder="1"/>
    <xf numFmtId="37" fontId="23" fillId="2" borderId="0" xfId="0" applyFont="1" applyFill="1"/>
    <xf numFmtId="37" fontId="22" fillId="2" borderId="0" xfId="0" applyFont="1" applyFill="1" applyBorder="1"/>
    <xf numFmtId="37" fontId="18" fillId="2" borderId="3" xfId="0" applyFont="1" applyFill="1" applyBorder="1"/>
    <xf numFmtId="37" fontId="23" fillId="2" borderId="0" xfId="0" quotePrefix="1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Protection="1"/>
    <xf numFmtId="37" fontId="22" fillId="2" borderId="0" xfId="0" applyFont="1" applyFill="1" applyProtection="1"/>
    <xf numFmtId="37" fontId="18" fillId="2" borderId="0" xfId="0" applyNumberFormat="1" applyFont="1" applyFill="1" applyBorder="1" applyProtection="1"/>
    <xf numFmtId="37" fontId="21" fillId="2" borderId="0" xfId="0" quotePrefix="1" applyFont="1" applyFill="1" applyAlignment="1" applyProtection="1">
      <alignment horizontal="center"/>
    </xf>
    <xf numFmtId="37" fontId="18" fillId="2" borderId="3" xfId="0" applyNumberFormat="1" applyFont="1" applyFill="1" applyBorder="1" applyProtection="1"/>
    <xf numFmtId="37" fontId="22" fillId="2" borderId="1" xfId="0" applyNumberFormat="1" applyFont="1" applyFill="1" applyBorder="1" applyProtection="1"/>
    <xf numFmtId="37" fontId="18" fillId="2" borderId="2" xfId="0" applyNumberFormat="1" applyFont="1" applyFill="1" applyBorder="1" applyProtection="1"/>
    <xf numFmtId="37" fontId="22" fillId="2" borderId="0" xfId="0" applyNumberFormat="1" applyFont="1" applyFill="1" applyBorder="1" applyProtection="1"/>
    <xf numFmtId="37" fontId="23" fillId="2" borderId="0" xfId="0" applyFont="1" applyFill="1" applyBorder="1"/>
    <xf numFmtId="37" fontId="23" fillId="2" borderId="3" xfId="0" applyFont="1" applyFill="1" applyBorder="1"/>
    <xf numFmtId="37" fontId="22" fillId="3" borderId="1" xfId="0" applyFont="1" applyFill="1" applyBorder="1"/>
    <xf numFmtId="37" fontId="22" fillId="4" borderId="0" xfId="0" applyFont="1" applyFill="1" applyBorder="1"/>
    <xf numFmtId="37" fontId="22" fillId="4" borderId="0" xfId="0" applyFont="1" applyFill="1"/>
    <xf numFmtId="37" fontId="22" fillId="4" borderId="1" xfId="0" applyFont="1" applyFill="1" applyBorder="1"/>
    <xf numFmtId="37" fontId="22" fillId="4" borderId="1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GENACTG/REPORTS/GPG/1999/04_Apr/GPG_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IS_GP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CF_ClnFls_EOTT_Con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IS_GP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CF_ClnFls_EOTT_Con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GP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F_ClnFls_EOTT_Con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ClnFls_EOT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GP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ClnFls_EOT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IS_GP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CF_ClnFls_EOTT_Con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CF_ClnFls_EOTT_Con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IS_ClnFls_EOT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IS_GP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IS_GP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CF_ClnFls_EOTT_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IS_GP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CF_ClnFls_EOTT_Con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IS_GP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CF_ClnFls_EOTT_C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YTD"/>
      <sheetName val="04CM"/>
      <sheetName val="04YTDDET"/>
      <sheetName val="04CMDET"/>
      <sheetName val="Feb+FLASH"/>
      <sheetName val="03CurMo"/>
      <sheetName val="03YTD"/>
      <sheetName val="03CMDET"/>
      <sheetName val="03YTDDET"/>
      <sheetName val="02YTD"/>
      <sheetName val="02CurMo"/>
      <sheetName val="02YTDDET"/>
      <sheetName val="02CMDET"/>
      <sheetName val="01YTD"/>
      <sheetName val="01CurMo"/>
      <sheetName val="01YTDDET"/>
      <sheetName val="01CMDET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I36">
            <v>11877.291999999999</v>
          </cell>
          <cell r="J36">
            <v>4580.5450000000001</v>
          </cell>
          <cell r="K36">
            <v>0</v>
          </cell>
          <cell r="L36">
            <v>0</v>
          </cell>
          <cell r="M36">
            <v>192.499</v>
          </cell>
          <cell r="N36">
            <v>0</v>
          </cell>
          <cell r="O36">
            <v>0</v>
          </cell>
          <cell r="P36">
            <v>0</v>
          </cell>
          <cell r="Q36">
            <v>33.463999999999999</v>
          </cell>
          <cell r="R36">
            <v>27</v>
          </cell>
          <cell r="U36">
            <v>0</v>
          </cell>
          <cell r="V36">
            <v>0</v>
          </cell>
        </row>
        <row r="43">
          <cell r="I43">
            <v>7.0030000000000001</v>
          </cell>
          <cell r="J43">
            <v>0</v>
          </cell>
          <cell r="K43">
            <v>6265.098</v>
          </cell>
          <cell r="L43">
            <v>1844.481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</row>
        <row r="46">
          <cell r="I46">
            <v>722.31200000000001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</row>
        <row r="62">
          <cell r="I62">
            <v>-2273.8989999999999</v>
          </cell>
          <cell r="J62">
            <v>541.74700000000007</v>
          </cell>
          <cell r="K62">
            <v>0</v>
          </cell>
          <cell r="L62">
            <v>470.36400000000003</v>
          </cell>
          <cell r="M62">
            <v>-52.871000000000002</v>
          </cell>
          <cell r="N62">
            <v>0</v>
          </cell>
          <cell r="O62">
            <v>-11.801</v>
          </cell>
          <cell r="P62">
            <v>-1.7349999999999999</v>
          </cell>
          <cell r="Q62">
            <v>-2770.72</v>
          </cell>
          <cell r="R62">
            <v>-9</v>
          </cell>
          <cell r="U62">
            <v>-435.23599999999999</v>
          </cell>
          <cell r="V62">
            <v>0</v>
          </cell>
        </row>
        <row r="65">
          <cell r="I65">
            <v>57080.096999999972</v>
          </cell>
          <cell r="J65">
            <v>14708.177</v>
          </cell>
          <cell r="K65">
            <v>6279.2489999999998</v>
          </cell>
          <cell r="L65">
            <v>850.99300000000005</v>
          </cell>
          <cell r="M65">
            <v>-179.90399999999997</v>
          </cell>
          <cell r="N65">
            <v>9.2100000000000222</v>
          </cell>
          <cell r="O65">
            <v>1070.4550000000004</v>
          </cell>
          <cell r="P65">
            <v>-190.63199999999986</v>
          </cell>
          <cell r="Q65">
            <v>2409.1369999999997</v>
          </cell>
          <cell r="R65">
            <v>5.4820000000000046</v>
          </cell>
          <cell r="U65">
            <v>3911.9489999999996</v>
          </cell>
          <cell r="V65">
            <v>0</v>
          </cell>
        </row>
        <row r="72">
          <cell r="I72">
            <v>4012.9569999999999</v>
          </cell>
          <cell r="J72">
            <v>223.15599999999966</v>
          </cell>
          <cell r="K72">
            <v>0</v>
          </cell>
          <cell r="L72">
            <v>-879.81900000000007</v>
          </cell>
          <cell r="M72">
            <v>-39.037999999999997</v>
          </cell>
          <cell r="N72">
            <v>0</v>
          </cell>
          <cell r="O72">
            <v>-83.645999999999987</v>
          </cell>
          <cell r="P72">
            <v>0</v>
          </cell>
          <cell r="Q72">
            <v>-288.04500000000002</v>
          </cell>
          <cell r="R72">
            <v>0</v>
          </cell>
          <cell r="U72">
            <v>-9974.3130000000001</v>
          </cell>
          <cell r="V7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18910.375</v>
          </cell>
          <cell r="K36">
            <v>8111.4359999999997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T36">
            <v>22.311</v>
          </cell>
          <cell r="U36">
            <v>0</v>
          </cell>
          <cell r="V36">
            <v>0</v>
          </cell>
        </row>
        <row r="43">
          <cell r="J43">
            <v>1523.14</v>
          </cell>
          <cell r="K43">
            <v>0</v>
          </cell>
          <cell r="L43">
            <v>14141.348</v>
          </cell>
          <cell r="M43">
            <v>2946.6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961.33799999999997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10207.585999999999</v>
          </cell>
          <cell r="K62">
            <v>532.5619999999999</v>
          </cell>
          <cell r="L62">
            <v>0</v>
          </cell>
          <cell r="M62">
            <v>270.37700000000001</v>
          </cell>
          <cell r="N62">
            <v>0</v>
          </cell>
          <cell r="O62">
            <v>0</v>
          </cell>
          <cell r="P62">
            <v>-3.036</v>
          </cell>
          <cell r="Q62">
            <v>16.887</v>
          </cell>
          <cell r="T62">
            <v>16.887</v>
          </cell>
          <cell r="U62">
            <v>0</v>
          </cell>
          <cell r="V62">
            <v>0</v>
          </cell>
        </row>
        <row r="65">
          <cell r="J65">
            <v>74259.728000000017</v>
          </cell>
          <cell r="K65">
            <v>23548.338000000007</v>
          </cell>
          <cell r="L65">
            <v>14141.348</v>
          </cell>
          <cell r="M65">
            <v>1443.7400000000002</v>
          </cell>
          <cell r="N65">
            <v>-6.7239999999999993</v>
          </cell>
          <cell r="O65">
            <v>280.01600000000019</v>
          </cell>
          <cell r="P65">
            <v>86.945999999999771</v>
          </cell>
          <cell r="Q65">
            <v>-18.398000000000003</v>
          </cell>
          <cell r="T65">
            <v>-18.398000000000003</v>
          </cell>
          <cell r="U65">
            <v>5462.4930000000004</v>
          </cell>
          <cell r="V65">
            <v>-45.553000000000011</v>
          </cell>
        </row>
        <row r="72">
          <cell r="J72">
            <v>6010.723</v>
          </cell>
          <cell r="K72">
            <v>-458.0180000000002</v>
          </cell>
          <cell r="L72">
            <v>0</v>
          </cell>
          <cell r="M72">
            <v>-1463.2829999999999</v>
          </cell>
          <cell r="N72">
            <v>0</v>
          </cell>
          <cell r="O72">
            <v>-135.584</v>
          </cell>
          <cell r="P72">
            <v>0</v>
          </cell>
          <cell r="Q72">
            <v>0</v>
          </cell>
          <cell r="T72">
            <v>0</v>
          </cell>
          <cell r="U72">
            <v>-15747.71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-667.08100000000002</v>
          </cell>
        </row>
        <row r="12">
          <cell r="H12">
            <v>25.315000000000001</v>
          </cell>
        </row>
        <row r="15">
          <cell r="H15">
            <v>1382.155</v>
          </cell>
        </row>
        <row r="16">
          <cell r="H16">
            <v>3400</v>
          </cell>
        </row>
        <row r="17">
          <cell r="H17">
            <v>154</v>
          </cell>
        </row>
        <row r="20">
          <cell r="H20">
            <v>2714</v>
          </cell>
        </row>
        <row r="21">
          <cell r="H21">
            <v>0</v>
          </cell>
        </row>
        <row r="24">
          <cell r="H24">
            <v>-3</v>
          </cell>
        </row>
        <row r="26">
          <cell r="H26">
            <v>145</v>
          </cell>
        </row>
        <row r="37">
          <cell r="H37">
            <v>-6770</v>
          </cell>
        </row>
        <row r="50">
          <cell r="H50">
            <v>-3538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22763.345999999998</v>
          </cell>
          <cell r="K36">
            <v>9790.1790000000001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</row>
        <row r="43">
          <cell r="J43">
            <v>1917.5</v>
          </cell>
          <cell r="K43">
            <v>0</v>
          </cell>
          <cell r="L43">
            <v>15506.163</v>
          </cell>
          <cell r="M43">
            <v>3434.5309999999999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976.06299999999999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23962.484</v>
          </cell>
          <cell r="K62">
            <v>-601.00099999999998</v>
          </cell>
          <cell r="L62">
            <v>0</v>
          </cell>
          <cell r="M62">
            <v>402.553</v>
          </cell>
          <cell r="N62">
            <v>0</v>
          </cell>
          <cell r="O62">
            <v>0</v>
          </cell>
          <cell r="P62">
            <v>-3.6429999999999998</v>
          </cell>
          <cell r="Q62">
            <v>806.98699999999997</v>
          </cell>
          <cell r="R62">
            <v>0</v>
          </cell>
          <cell r="T62">
            <v>806.98699999999997</v>
          </cell>
          <cell r="U62">
            <v>272.911</v>
          </cell>
          <cell r="V62">
            <v>0</v>
          </cell>
        </row>
        <row r="65">
          <cell r="J65">
            <v>97960.638999999996</v>
          </cell>
          <cell r="K65">
            <v>28028.403999999988</v>
          </cell>
          <cell r="L65">
            <v>15506.163</v>
          </cell>
          <cell r="M65">
            <v>1735.4770000000003</v>
          </cell>
          <cell r="N65">
            <v>-0.29800000000000115</v>
          </cell>
          <cell r="O65">
            <v>374.76599999999996</v>
          </cell>
          <cell r="P65">
            <v>86.854000000000141</v>
          </cell>
          <cell r="Q65">
            <v>-0.40099999999994818</v>
          </cell>
          <cell r="R65">
            <v>0</v>
          </cell>
          <cell r="T65">
            <v>-0.40099999999994818</v>
          </cell>
          <cell r="U65">
            <v>1149.922</v>
          </cell>
          <cell r="V65">
            <v>-89.97399999999999</v>
          </cell>
        </row>
        <row r="72">
          <cell r="J72">
            <v>7257.7129999999988</v>
          </cell>
          <cell r="K72">
            <v>198.20100000000005</v>
          </cell>
          <cell r="L72">
            <v>0</v>
          </cell>
          <cell r="M72">
            <v>-1463.2829999999999</v>
          </cell>
          <cell r="N72">
            <v>0</v>
          </cell>
          <cell r="O72">
            <v>-219.41</v>
          </cell>
          <cell r="P72">
            <v>0</v>
          </cell>
          <cell r="Q72">
            <v>0</v>
          </cell>
          <cell r="R72">
            <v>0</v>
          </cell>
          <cell r="T72">
            <v>0</v>
          </cell>
          <cell r="U72">
            <v>-18631.826000000001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>
        <row r="50">
          <cell r="H50">
            <v>9</v>
          </cell>
        </row>
      </sheetData>
      <sheetData sheetId="1">
        <row r="8">
          <cell r="H8">
            <v>-2287.6179999999999</v>
          </cell>
        </row>
        <row r="12">
          <cell r="H12">
            <v>30.378</v>
          </cell>
        </row>
        <row r="15">
          <cell r="H15">
            <v>3927.9700000000003</v>
          </cell>
        </row>
        <row r="16">
          <cell r="H16">
            <v>3400</v>
          </cell>
        </row>
        <row r="17">
          <cell r="H17">
            <v>162</v>
          </cell>
        </row>
        <row r="20">
          <cell r="H20">
            <v>2666</v>
          </cell>
        </row>
        <row r="21">
          <cell r="H21">
            <v>0</v>
          </cell>
        </row>
        <row r="24">
          <cell r="H24">
            <v>7</v>
          </cell>
        </row>
        <row r="26">
          <cell r="H26">
            <v>235</v>
          </cell>
        </row>
        <row r="37">
          <cell r="H37">
            <v>-6770</v>
          </cell>
        </row>
        <row r="48">
          <cell r="H48">
            <v>0</v>
          </cell>
        </row>
        <row r="50">
          <cell r="H50">
            <v>3547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26787.807000000001</v>
          </cell>
          <cell r="K36">
            <v>11268.687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2203.165</v>
          </cell>
          <cell r="K43">
            <v>0</v>
          </cell>
          <cell r="L43">
            <v>18411.357</v>
          </cell>
          <cell r="M43">
            <v>4038.7370000000001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23660.897000000001</v>
          </cell>
          <cell r="K62">
            <v>-445.05999999999995</v>
          </cell>
          <cell r="L62">
            <v>0</v>
          </cell>
          <cell r="M62">
            <v>432.98399999999998</v>
          </cell>
          <cell r="N62">
            <v>0</v>
          </cell>
          <cell r="O62">
            <v>0</v>
          </cell>
          <cell r="P62">
            <v>-4.25</v>
          </cell>
          <cell r="Q62">
            <v>0</v>
          </cell>
          <cell r="T62">
            <v>0</v>
          </cell>
          <cell r="U62">
            <v>272.911</v>
          </cell>
          <cell r="V62">
            <v>0</v>
          </cell>
          <cell r="W62">
            <v>0</v>
          </cell>
        </row>
        <row r="65">
          <cell r="J65">
            <v>100281.35299999997</v>
          </cell>
          <cell r="K65">
            <v>35416.794999999998</v>
          </cell>
          <cell r="L65">
            <v>18411.357</v>
          </cell>
          <cell r="M65">
            <v>2024.5079999999998</v>
          </cell>
          <cell r="N65">
            <v>1.6180000000000001</v>
          </cell>
          <cell r="O65">
            <v>660.75100000000009</v>
          </cell>
          <cell r="P65">
            <v>79.480999999999995</v>
          </cell>
          <cell r="Q65">
            <v>0</v>
          </cell>
          <cell r="T65">
            <v>0</v>
          </cell>
          <cell r="U65">
            <v>1979.56</v>
          </cell>
          <cell r="V65">
            <v>-25.954000000000001</v>
          </cell>
          <cell r="W65">
            <v>-231.88400000000004</v>
          </cell>
        </row>
        <row r="72">
          <cell r="J72">
            <v>8416.2420000000002</v>
          </cell>
          <cell r="K72">
            <v>-207.14600000000021</v>
          </cell>
          <cell r="L72">
            <v>0</v>
          </cell>
          <cell r="M72">
            <v>-2048.5969999999998</v>
          </cell>
          <cell r="N72">
            <v>0</v>
          </cell>
          <cell r="O72">
            <v>-189.81699999999998</v>
          </cell>
          <cell r="P72">
            <v>0</v>
          </cell>
          <cell r="Q72">
            <v>0</v>
          </cell>
          <cell r="T72">
            <v>0</v>
          </cell>
          <cell r="U72">
            <v>-22859.946000000004</v>
          </cell>
          <cell r="V72">
            <v>0</v>
          </cell>
          <cell r="W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725.85699999999974</v>
          </cell>
        </row>
        <row r="12">
          <cell r="H12">
            <v>-690.71199999999999</v>
          </cell>
        </row>
        <row r="15">
          <cell r="H15">
            <v>-1110.9399999999998</v>
          </cell>
        </row>
        <row r="16">
          <cell r="H16">
            <v>5135</v>
          </cell>
        </row>
        <row r="17">
          <cell r="H17">
            <v>-241</v>
          </cell>
        </row>
        <row r="20">
          <cell r="H20">
            <v>2397</v>
          </cell>
        </row>
        <row r="24">
          <cell r="H24">
            <v>21</v>
          </cell>
        </row>
        <row r="26">
          <cell r="H26">
            <v>12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3258</v>
          </cell>
        </row>
        <row r="54">
          <cell r="J54">
            <v>0</v>
          </cell>
        </row>
      </sheetData>
      <sheetData sheetId="2"/>
      <sheetData sheetId="3">
        <row r="8">
          <cell r="H8">
            <v>-2318.7079999999996</v>
          </cell>
        </row>
        <row r="12">
          <cell r="H12">
            <v>-690.71100000000001</v>
          </cell>
        </row>
        <row r="15">
          <cell r="H15">
            <v>226.62</v>
          </cell>
        </row>
        <row r="16">
          <cell r="H16">
            <v>5135</v>
          </cell>
        </row>
        <row r="17">
          <cell r="H17">
            <v>12</v>
          </cell>
        </row>
        <row r="20">
          <cell r="H20">
            <v>2684</v>
          </cell>
        </row>
        <row r="24">
          <cell r="H24">
            <v>20</v>
          </cell>
        </row>
        <row r="26">
          <cell r="H26">
            <v>13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3610</v>
          </cell>
        </row>
        <row r="54">
          <cell r="J54">
            <v>0</v>
          </cell>
        </row>
      </sheetData>
      <sheetData sheetId="4"/>
      <sheetData sheetId="5">
        <row r="8">
          <cell r="H8">
            <v>-93.48800000000017</v>
          </cell>
        </row>
        <row r="12">
          <cell r="H12">
            <v>-695.774</v>
          </cell>
        </row>
        <row r="15">
          <cell r="H15">
            <v>-86.551000000000002</v>
          </cell>
        </row>
        <row r="16">
          <cell r="H16">
            <v>3400</v>
          </cell>
        </row>
        <row r="17">
          <cell r="H17">
            <v>13</v>
          </cell>
        </row>
        <row r="20">
          <cell r="H20">
            <v>2747</v>
          </cell>
        </row>
        <row r="21">
          <cell r="H21">
            <v>0</v>
          </cell>
        </row>
        <row r="24">
          <cell r="H24">
            <v>29</v>
          </cell>
        </row>
        <row r="26">
          <cell r="H26">
            <v>1</v>
          </cell>
        </row>
        <row r="37">
          <cell r="H37">
            <v>-6770</v>
          </cell>
        </row>
        <row r="46">
          <cell r="H46">
            <v>2533</v>
          </cell>
        </row>
        <row r="50">
          <cell r="H50">
            <v>3614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8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30808.224999999999</v>
          </cell>
          <cell r="K36">
            <v>12726.424000000001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43">
          <cell r="J43">
            <v>2590.1590000000001</v>
          </cell>
          <cell r="K43">
            <v>0</v>
          </cell>
          <cell r="L43">
            <v>30845.435000000001</v>
          </cell>
          <cell r="M43">
            <v>4790.116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62">
          <cell r="J62">
            <v>25580.784</v>
          </cell>
          <cell r="K62">
            <v>-250.40099999999984</v>
          </cell>
          <cell r="L62">
            <v>0</v>
          </cell>
          <cell r="M62">
            <v>450.93700000000001</v>
          </cell>
          <cell r="N62">
            <v>0</v>
          </cell>
          <cell r="O62">
            <v>0</v>
          </cell>
          <cell r="P62">
            <v>-4.8570000000000002</v>
          </cell>
          <cell r="Q62">
            <v>272.911</v>
          </cell>
          <cell r="R62">
            <v>0</v>
          </cell>
          <cell r="S62">
            <v>0</v>
          </cell>
        </row>
        <row r="65">
          <cell r="J65">
            <v>103638.30299999996</v>
          </cell>
          <cell r="K65">
            <v>40807.303999999989</v>
          </cell>
          <cell r="L65">
            <v>30845.435000000001</v>
          </cell>
          <cell r="M65">
            <v>2387.2119999999991</v>
          </cell>
          <cell r="N65">
            <v>-1.4149999999999998</v>
          </cell>
          <cell r="O65">
            <v>452.48999999999995</v>
          </cell>
          <cell r="P65">
            <v>87.922999999999973</v>
          </cell>
          <cell r="Q65">
            <v>4534.1510000000017</v>
          </cell>
          <cell r="R65">
            <v>163.89400000000001</v>
          </cell>
          <cell r="S65">
            <v>-318.84699999999998</v>
          </cell>
        </row>
        <row r="72">
          <cell r="J72">
            <v>9618.4080000000013</v>
          </cell>
          <cell r="K72">
            <v>-81.711999999999847</v>
          </cell>
          <cell r="L72">
            <v>0</v>
          </cell>
          <cell r="M72">
            <v>-2341.2539999999999</v>
          </cell>
          <cell r="N72">
            <v>0</v>
          </cell>
          <cell r="O72">
            <v>-216.93399999999997</v>
          </cell>
          <cell r="P72">
            <v>0</v>
          </cell>
          <cell r="Q72">
            <v>-25312.084000000003</v>
          </cell>
          <cell r="R72">
            <v>0</v>
          </cell>
          <cell r="S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9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CM "/>
      <sheetName val="09CMDET "/>
      <sheetName val="09YTD"/>
      <sheetName val="09YTDDET"/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 refreshError="1"/>
      <sheetData sheetId="1" refreshError="1"/>
      <sheetData sheetId="2">
        <row r="36">
          <cell r="J36">
            <v>34809.866000000002</v>
          </cell>
          <cell r="K36">
            <v>14284.134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2936.2469999999998</v>
          </cell>
          <cell r="K43">
            <v>0</v>
          </cell>
          <cell r="L43">
            <v>34969.701999999997</v>
          </cell>
          <cell r="M43">
            <v>5568.893</v>
          </cell>
          <cell r="N43">
            <v>0</v>
          </cell>
          <cell r="O43">
            <v>0</v>
          </cell>
          <cell r="P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976.60299999999995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30258.355</v>
          </cell>
          <cell r="K62">
            <v>441.40100000000007</v>
          </cell>
          <cell r="L62">
            <v>0</v>
          </cell>
          <cell r="M62">
            <v>408.95100000000002</v>
          </cell>
          <cell r="N62">
            <v>0</v>
          </cell>
          <cell r="O62">
            <v>0</v>
          </cell>
          <cell r="P62">
            <v>-5.4640000000000004</v>
          </cell>
          <cell r="U62">
            <v>-777.08900000000006</v>
          </cell>
          <cell r="V62">
            <v>0</v>
          </cell>
          <cell r="W62">
            <v>0</v>
          </cell>
        </row>
        <row r="65">
          <cell r="J65">
            <v>117015.42099999997</v>
          </cell>
          <cell r="K65">
            <v>48911.522000000012</v>
          </cell>
          <cell r="L65">
            <v>34969.701999999997</v>
          </cell>
          <cell r="M65">
            <v>2872.8670000000002</v>
          </cell>
          <cell r="N65">
            <v>-16.594000000000001</v>
          </cell>
          <cell r="O65">
            <v>850.0229999999998</v>
          </cell>
          <cell r="P65">
            <v>160.40800000000002</v>
          </cell>
          <cell r="U65">
            <v>3737.0329999999999</v>
          </cell>
          <cell r="V65">
            <v>-124.149</v>
          </cell>
          <cell r="W65">
            <v>-56.227000000000004</v>
          </cell>
        </row>
        <row r="72">
          <cell r="J72">
            <v>10820.570999999998</v>
          </cell>
          <cell r="K72">
            <v>-87.920000000000442</v>
          </cell>
          <cell r="M72">
            <v>-2633.9110000000001</v>
          </cell>
          <cell r="O72">
            <v>-344.64299999999997</v>
          </cell>
          <cell r="P72">
            <v>0</v>
          </cell>
          <cell r="U72">
            <v>-28852.925999999999</v>
          </cell>
          <cell r="V72">
            <v>0</v>
          </cell>
          <cell r="W7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CM"/>
      <sheetName val="DECYTD"/>
      <sheetName val="NovCM"/>
      <sheetName val="NOVYTD"/>
      <sheetName val="OCTCM"/>
      <sheetName val="OCTYTD"/>
      <sheetName val="SEPTCM"/>
      <sheetName val="SEPTYTD"/>
      <sheetName val="AUGCM"/>
      <sheetName val="AUGYTD"/>
      <sheetName val="JULYCM"/>
      <sheetName val="JULYYTD"/>
      <sheetName val="JUNECM"/>
      <sheetName val="JUNEYTD"/>
      <sheetName val="May MO"/>
      <sheetName val="May YTD"/>
      <sheetName val="Apr_YTD"/>
      <sheetName val="Apr_MO"/>
      <sheetName val="Mar_YTD"/>
      <sheetName val="MAR_MO"/>
      <sheetName val="FEB_YTD"/>
      <sheetName val="FEB_MO"/>
      <sheetName val="JAN_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H8">
            <v>406.31800000000004</v>
          </cell>
        </row>
        <row r="13">
          <cell r="H13">
            <v>5.0629999999999997</v>
          </cell>
        </row>
        <row r="19">
          <cell r="H19">
            <v>-624.74</v>
          </cell>
        </row>
        <row r="24">
          <cell r="H24">
            <v>3323</v>
          </cell>
        </row>
        <row r="25">
          <cell r="H25">
            <v>0</v>
          </cell>
        </row>
        <row r="29">
          <cell r="H29">
            <v>0</v>
          </cell>
        </row>
        <row r="31">
          <cell r="H31">
            <v>37</v>
          </cell>
        </row>
        <row r="42">
          <cell r="J42">
            <v>-43400</v>
          </cell>
        </row>
        <row r="43">
          <cell r="J43">
            <v>-77</v>
          </cell>
        </row>
        <row r="53">
          <cell r="H53">
            <v>-3186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YTD "/>
      <sheetName val="09YTDDET "/>
      <sheetName val="09CM "/>
      <sheetName val="09CMDET"/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</sheetNames>
    <sheetDataSet>
      <sheetData sheetId="0">
        <row r="73">
          <cell r="N7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Earn"/>
      <sheetName val="12CM"/>
      <sheetName val="12CMDET"/>
      <sheetName val="12YTD"/>
      <sheetName val="12YTDDET"/>
      <sheetName val="11CM"/>
      <sheetName val="11CMDET"/>
      <sheetName val="Nov+Flash"/>
      <sheetName val="11YTD"/>
      <sheetName val="11YTDDET"/>
      <sheetName val="10CM"/>
      <sheetName val="10CMDET"/>
      <sheetName val="10YTD"/>
      <sheetName val="10YTDDET"/>
      <sheetName val="09CM"/>
      <sheetName val="09CMDET"/>
      <sheetName val="09YTD"/>
      <sheetName val="09YTDDET"/>
      <sheetName val="08CM"/>
      <sheetName val="08CMDET"/>
      <sheetName val="Aug+Flash"/>
      <sheetName val="08YTD"/>
      <sheetName val="08YTDDET"/>
      <sheetName val="07CM"/>
      <sheetName val="07CMDET"/>
      <sheetName val="07YTD"/>
      <sheetName val="07YTDDET"/>
      <sheetName val="06CM"/>
      <sheetName val="06CMDET"/>
      <sheetName val="06YTD"/>
      <sheetName val="06YTDDET"/>
      <sheetName val="JuneFlashYTD"/>
      <sheetName val="01CMDET"/>
      <sheetName val="01CM"/>
      <sheetName val="01YTDDET"/>
      <sheetName val="01YTD"/>
      <sheetName val="03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6">
          <cell r="J36">
            <v>3812.6939999999995</v>
          </cell>
          <cell r="K36">
            <v>1603.1770000000001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43">
          <cell r="J43">
            <v>248.172</v>
          </cell>
          <cell r="K43">
            <v>0</v>
          </cell>
          <cell r="L43">
            <v>2532.3809999999999</v>
          </cell>
          <cell r="M43">
            <v>548.63699999999994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6">
          <cell r="J46">
            <v>-108.812</v>
          </cell>
          <cell r="K46">
            <v>-3.0000000000000001E-3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62">
          <cell r="J62">
            <v>1670.9370000000001</v>
          </cell>
          <cell r="K62">
            <v>238.41899999999998</v>
          </cell>
          <cell r="L62">
            <v>0</v>
          </cell>
          <cell r="M62">
            <v>39.507000000000005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</row>
        <row r="65">
          <cell r="J65">
            <v>21637.741000000009</v>
          </cell>
          <cell r="K65">
            <v>5247.5100000000011</v>
          </cell>
          <cell r="L65">
            <v>2532.3809999999999</v>
          </cell>
          <cell r="M65">
            <v>439.35900000000004</v>
          </cell>
          <cell r="N65">
            <v>0</v>
          </cell>
          <cell r="O65">
            <v>177.44399999999996</v>
          </cell>
          <cell r="P65">
            <v>21.728999999999999</v>
          </cell>
          <cell r="Q65">
            <v>-0.19900000000000001</v>
          </cell>
          <cell r="R65">
            <v>0</v>
          </cell>
          <cell r="S65">
            <v>0</v>
          </cell>
          <cell r="U65">
            <v>1374.7529999999999</v>
          </cell>
          <cell r="V65">
            <v>0</v>
          </cell>
        </row>
        <row r="72">
          <cell r="J72">
            <v>1208.723</v>
          </cell>
          <cell r="K72">
            <v>-150.65900000000005</v>
          </cell>
          <cell r="L72">
            <v>0</v>
          </cell>
          <cell r="M72">
            <v>-292.65699999999998</v>
          </cell>
          <cell r="N72">
            <v>0</v>
          </cell>
          <cell r="O72">
            <v>-27.116999999999997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-3218.4629999999997</v>
          </cell>
          <cell r="V72">
            <v>0</v>
          </cell>
        </row>
      </sheetData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Earn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7224.6329999999998</v>
          </cell>
          <cell r="K36">
            <v>3209.634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11.154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594.30499999999995</v>
          </cell>
          <cell r="K43">
            <v>0</v>
          </cell>
          <cell r="L43">
            <v>4387.268</v>
          </cell>
          <cell r="M43">
            <v>1235.5809999999999</v>
          </cell>
          <cell r="N43">
            <v>0</v>
          </cell>
          <cell r="U43">
            <v>0</v>
          </cell>
          <cell r="V43">
            <v>0</v>
          </cell>
        </row>
        <row r="62">
          <cell r="J62">
            <v>3236.4570000000003</v>
          </cell>
          <cell r="K62">
            <v>304.4670000000001</v>
          </cell>
          <cell r="L62">
            <v>0</v>
          </cell>
          <cell r="M62">
            <v>107.282</v>
          </cell>
          <cell r="N62">
            <v>0</v>
          </cell>
          <cell r="O62">
            <v>0</v>
          </cell>
          <cell r="P62">
            <v>-1.2150000000000001</v>
          </cell>
          <cell r="Q62">
            <v>5.9130000000000003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41275.296999999977</v>
          </cell>
          <cell r="K65">
            <v>9313.3929999999982</v>
          </cell>
          <cell r="L65">
            <v>4387.268</v>
          </cell>
          <cell r="M65">
            <v>596.9369999999999</v>
          </cell>
          <cell r="N65">
            <v>1.000000000000778E-3</v>
          </cell>
          <cell r="O65">
            <v>345.34700000000004</v>
          </cell>
          <cell r="P65">
            <v>42.932999999999922</v>
          </cell>
          <cell r="Q65">
            <v>-26</v>
          </cell>
          <cell r="R65">
            <v>0</v>
          </cell>
          <cell r="U65">
            <v>1160.5420000000004</v>
          </cell>
          <cell r="V65">
            <v>0</v>
          </cell>
        </row>
        <row r="72">
          <cell r="J72">
            <v>2414.0140000000001</v>
          </cell>
          <cell r="K72">
            <v>-483.38</v>
          </cell>
          <cell r="L72">
            <v>0</v>
          </cell>
          <cell r="M72">
            <v>-585.31299999999999</v>
          </cell>
          <cell r="N72">
            <v>0</v>
          </cell>
          <cell r="O72">
            <v>-54.232999999999997</v>
          </cell>
          <cell r="P72">
            <v>0</v>
          </cell>
          <cell r="Q72">
            <v>0</v>
          </cell>
          <cell r="R72">
            <v>0</v>
          </cell>
          <cell r="U72">
            <v>-8022.66</v>
          </cell>
          <cell r="V72">
            <v>0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_YTD"/>
      <sheetName val="FEB_MO"/>
      <sheetName val="JAN_YTD"/>
    </sheetNames>
    <sheetDataSet>
      <sheetData sheetId="0">
        <row r="8">
          <cell r="H8">
            <v>-936.17500000000007</v>
          </cell>
        </row>
        <row r="13">
          <cell r="H13">
            <v>10.125999999999999</v>
          </cell>
        </row>
        <row r="19">
          <cell r="H19">
            <v>1558.8239999999998</v>
          </cell>
        </row>
        <row r="20">
          <cell r="H20">
            <v>1666</v>
          </cell>
        </row>
        <row r="24">
          <cell r="H24">
            <v>3426</v>
          </cell>
        </row>
        <row r="29">
          <cell r="H29">
            <v>-13</v>
          </cell>
        </row>
        <row r="31">
          <cell r="H31">
            <v>-10</v>
          </cell>
        </row>
        <row r="42">
          <cell r="H42">
            <v>0</v>
          </cell>
        </row>
        <row r="43">
          <cell r="H43">
            <v>238</v>
          </cell>
        </row>
        <row r="56">
          <cell r="J56">
            <v>3435</v>
          </cell>
        </row>
      </sheetData>
      <sheetData sheetId="1">
        <row r="8">
          <cell r="H8">
            <v>-1342.4929999999999</v>
          </cell>
        </row>
        <row r="13">
          <cell r="H13">
            <v>5.0629999999999997</v>
          </cell>
        </row>
        <row r="19">
          <cell r="H19">
            <v>2183.5639999999999</v>
          </cell>
        </row>
        <row r="20">
          <cell r="H20">
            <v>1666</v>
          </cell>
        </row>
        <row r="21">
          <cell r="H21">
            <v>-1</v>
          </cell>
        </row>
        <row r="24">
          <cell r="H24">
            <v>103</v>
          </cell>
        </row>
        <row r="29">
          <cell r="H29">
            <v>-13</v>
          </cell>
        </row>
        <row r="31">
          <cell r="H31">
            <v>-47</v>
          </cell>
        </row>
        <row r="42">
          <cell r="H42">
            <v>43400</v>
          </cell>
        </row>
        <row r="43">
          <cell r="H43">
            <v>315</v>
          </cell>
        </row>
        <row r="56">
          <cell r="H56">
            <v>249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11137.832</v>
          </cell>
          <cell r="K36">
            <v>4828.0859999999993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881.69600000000003</v>
          </cell>
          <cell r="K43">
            <v>0</v>
          </cell>
          <cell r="L43">
            <v>6451.6530000000002</v>
          </cell>
          <cell r="M43">
            <v>1756.1210000000001</v>
          </cell>
          <cell r="N43">
            <v>0</v>
          </cell>
          <cell r="U43">
            <v>0</v>
          </cell>
          <cell r="V43">
            <v>0</v>
          </cell>
          <cell r="X43">
            <v>-2119.404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5811.6310000000003</v>
          </cell>
          <cell r="K62">
            <v>380.64</v>
          </cell>
          <cell r="L62">
            <v>0</v>
          </cell>
          <cell r="M62">
            <v>162.47399999999999</v>
          </cell>
          <cell r="N62">
            <v>0</v>
          </cell>
          <cell r="O62">
            <v>0</v>
          </cell>
          <cell r="P62">
            <v>-1.8210000000000002</v>
          </cell>
          <cell r="Q62">
            <v>6.7640000000000002</v>
          </cell>
          <cell r="R62">
            <v>0</v>
          </cell>
          <cell r="U62">
            <v>0</v>
          </cell>
          <cell r="V62">
            <v>0</v>
          </cell>
          <cell r="X62">
            <v>15.189</v>
          </cell>
        </row>
        <row r="65">
          <cell r="J65">
            <v>62672.225999999995</v>
          </cell>
          <cell r="K65">
            <v>13255.386000000002</v>
          </cell>
          <cell r="L65">
            <v>6451.6530000000002</v>
          </cell>
          <cell r="M65">
            <v>892.48700000000008</v>
          </cell>
          <cell r="N65">
            <v>-0.28500000000000203</v>
          </cell>
          <cell r="O65">
            <v>389.49599999999998</v>
          </cell>
          <cell r="P65">
            <v>63.834999999999951</v>
          </cell>
          <cell r="Q65">
            <v>-10.381</v>
          </cell>
          <cell r="R65">
            <v>0</v>
          </cell>
          <cell r="U65">
            <v>2442.9440000000004</v>
          </cell>
          <cell r="V65">
            <v>-9.9999999999944578E-4</v>
          </cell>
          <cell r="X65">
            <v>-1307.355</v>
          </cell>
        </row>
        <row r="72">
          <cell r="J72">
            <v>3619.2979999999998</v>
          </cell>
          <cell r="K72">
            <v>-816.09999999999991</v>
          </cell>
          <cell r="L72">
            <v>0</v>
          </cell>
          <cell r="M72">
            <v>-877.97000000000014</v>
          </cell>
          <cell r="N72">
            <v>0</v>
          </cell>
          <cell r="O72">
            <v>-81.350999999999985</v>
          </cell>
          <cell r="P72">
            <v>0</v>
          </cell>
          <cell r="Q72">
            <v>0</v>
          </cell>
          <cell r="R72">
            <v>0</v>
          </cell>
          <cell r="U72">
            <v>-9655.387999999999</v>
          </cell>
          <cell r="V72">
            <v>0</v>
          </cell>
          <cell r="X7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_MO"/>
      <sheetName val="MAR_YTD"/>
      <sheetName val="FEB_YTD"/>
      <sheetName val="FEB_MO"/>
      <sheetName val="JAN_YTD"/>
    </sheetNames>
    <sheetDataSet>
      <sheetData sheetId="0"/>
      <sheetData sheetId="1">
        <row r="16">
          <cell r="H16">
            <v>1666</v>
          </cell>
        </row>
        <row r="17">
          <cell r="H17">
            <v>255</v>
          </cell>
        </row>
        <row r="20">
          <cell r="H20">
            <v>3257</v>
          </cell>
        </row>
        <row r="21">
          <cell r="H21">
            <v>0</v>
          </cell>
        </row>
        <row r="25">
          <cell r="H25">
            <v>-8</v>
          </cell>
        </row>
        <row r="27">
          <cell r="H27">
            <v>28</v>
          </cell>
        </row>
        <row r="38">
          <cell r="H38">
            <v>-12700</v>
          </cell>
        </row>
        <row r="52">
          <cell r="H52">
            <v>-3328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15000.940999999999</v>
          </cell>
          <cell r="K36">
            <v>6457.0349999999999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1156.876</v>
          </cell>
          <cell r="K43">
            <v>0</v>
          </cell>
          <cell r="L43">
            <v>11728.146000000001</v>
          </cell>
          <cell r="M43">
            <v>2273.5990000000002</v>
          </cell>
          <cell r="N43">
            <v>0</v>
          </cell>
          <cell r="U43">
            <v>0</v>
          </cell>
          <cell r="V43">
            <v>0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6678.4130000000005</v>
          </cell>
          <cell r="K62">
            <v>474.06500000000005</v>
          </cell>
          <cell r="L62">
            <v>0</v>
          </cell>
          <cell r="M62">
            <v>217.47800000000001</v>
          </cell>
          <cell r="N62">
            <v>0</v>
          </cell>
          <cell r="O62">
            <v>0</v>
          </cell>
          <cell r="P62">
            <v>-2.4280000000000004</v>
          </cell>
          <cell r="Q62">
            <v>11.824999999999999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64042.15199999998</v>
          </cell>
          <cell r="K65">
            <v>18401.785000000003</v>
          </cell>
          <cell r="L65">
            <v>11728.146000000001</v>
          </cell>
          <cell r="M65">
            <v>1113.874</v>
          </cell>
          <cell r="N65">
            <v>-0.34100000000000086</v>
          </cell>
          <cell r="O65">
            <v>117.78299999999963</v>
          </cell>
          <cell r="P65">
            <v>83.776999999999958</v>
          </cell>
          <cell r="Q65">
            <v>-10.917999999999999</v>
          </cell>
          <cell r="R65">
            <v>0</v>
          </cell>
          <cell r="U65">
            <v>3885.7970000000005</v>
          </cell>
          <cell r="V65">
            <v>0</v>
          </cell>
        </row>
        <row r="72">
          <cell r="J72">
            <v>4838.6580000000004</v>
          </cell>
          <cell r="K72">
            <v>-223.81999999999982</v>
          </cell>
          <cell r="L72">
            <v>0</v>
          </cell>
          <cell r="M72">
            <v>-1170.626</v>
          </cell>
          <cell r="N72">
            <v>0</v>
          </cell>
          <cell r="O72">
            <v>-108.46799999999999</v>
          </cell>
          <cell r="P72">
            <v>0</v>
          </cell>
          <cell r="Q72">
            <v>0</v>
          </cell>
          <cell r="R72">
            <v>0</v>
          </cell>
          <cell r="U72">
            <v>-12701.550000000001</v>
          </cell>
          <cell r="V72">
            <v>0</v>
          </cell>
          <cell r="X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-808.02100000000007</v>
          </cell>
        </row>
        <row r="12">
          <cell r="H12">
            <v>20.251999999999999</v>
          </cell>
        </row>
        <row r="15">
          <cell r="H15">
            <v>1599.819</v>
          </cell>
        </row>
        <row r="16">
          <cell r="H16">
            <v>1666</v>
          </cell>
        </row>
        <row r="17">
          <cell r="H17">
            <v>157</v>
          </cell>
        </row>
        <row r="20">
          <cell r="H20">
            <v>2928</v>
          </cell>
        </row>
        <row r="21">
          <cell r="H21">
            <v>0</v>
          </cell>
        </row>
        <row r="25">
          <cell r="H25">
            <v>-1</v>
          </cell>
        </row>
        <row r="27">
          <cell r="H27">
            <v>91</v>
          </cell>
        </row>
        <row r="38">
          <cell r="H38">
            <v>16230</v>
          </cell>
        </row>
        <row r="51">
          <cell r="H51">
            <v>-3475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5" workbookViewId="0"/>
  </sheetViews>
  <sheetFormatPr defaultRowHeight="11.25" x14ac:dyDescent="0.2"/>
  <sheetData>
    <row r="1" spans="1:3" x14ac:dyDescent="0.2">
      <c r="A1" s="44" t="s">
        <v>86</v>
      </c>
    </row>
    <row r="3" spans="1:3" x14ac:dyDescent="0.2">
      <c r="A3" s="44" t="s">
        <v>78</v>
      </c>
      <c r="C3" s="43"/>
    </row>
    <row r="5" spans="1:3" x14ac:dyDescent="0.2">
      <c r="A5" t="s">
        <v>79</v>
      </c>
      <c r="C5">
        <v>-8227</v>
      </c>
    </row>
    <row r="6" spans="1:3" x14ac:dyDescent="0.2">
      <c r="A6" t="s">
        <v>80</v>
      </c>
      <c r="C6">
        <v>1942</v>
      </c>
    </row>
    <row r="7" spans="1:3" ht="12" thickBot="1" x14ac:dyDescent="0.25">
      <c r="A7" t="s">
        <v>95</v>
      </c>
      <c r="C7" s="42">
        <f>SUM(C5:C6)</f>
        <v>-6285</v>
      </c>
    </row>
    <row r="8" spans="1:3" ht="12" thickTop="1" x14ac:dyDescent="0.2"/>
    <row r="9" spans="1:3" x14ac:dyDescent="0.2">
      <c r="A9" s="44" t="s">
        <v>81</v>
      </c>
    </row>
    <row r="11" spans="1:3" x14ac:dyDescent="0.2">
      <c r="A11" t="s">
        <v>82</v>
      </c>
      <c r="C11">
        <v>2000</v>
      </c>
    </row>
    <row r="12" spans="1:3" x14ac:dyDescent="0.2">
      <c r="A12" t="s">
        <v>83</v>
      </c>
      <c r="C12">
        <v>3100</v>
      </c>
    </row>
    <row r="13" spans="1:3" x14ac:dyDescent="0.2">
      <c r="A13" t="s">
        <v>84</v>
      </c>
      <c r="C13">
        <v>6300</v>
      </c>
    </row>
    <row r="14" spans="1:3" x14ac:dyDescent="0.2">
      <c r="A14" t="s">
        <v>85</v>
      </c>
      <c r="C14">
        <f>SUM(C11:C13)-C15</f>
        <v>-938</v>
      </c>
    </row>
    <row r="15" spans="1:3" ht="12" thickBot="1" x14ac:dyDescent="0.25">
      <c r="A15" t="s">
        <v>94</v>
      </c>
      <c r="C15" s="42">
        <v>12338</v>
      </c>
    </row>
    <row r="16" spans="1:3" ht="12" thickTop="1" x14ac:dyDescent="0.2"/>
    <row r="17" spans="1:3" x14ac:dyDescent="0.2">
      <c r="A17" s="44" t="s">
        <v>90</v>
      </c>
    </row>
    <row r="19" spans="1:3" x14ac:dyDescent="0.2">
      <c r="A19" t="s">
        <v>87</v>
      </c>
      <c r="C19">
        <v>-29350</v>
      </c>
    </row>
    <row r="20" spans="1:3" x14ac:dyDescent="0.2">
      <c r="A20" t="s">
        <v>88</v>
      </c>
      <c r="C20">
        <f>C21-C19</f>
        <v>-7592</v>
      </c>
    </row>
    <row r="21" spans="1:3" ht="12" thickBot="1" x14ac:dyDescent="0.25">
      <c r="A21" t="s">
        <v>89</v>
      </c>
      <c r="C21" s="42">
        <v>-36942</v>
      </c>
    </row>
    <row r="22" spans="1:3" ht="12" thickTop="1" x14ac:dyDescent="0.2"/>
    <row r="23" spans="1:3" x14ac:dyDescent="0.2">
      <c r="A23" t="s">
        <v>91</v>
      </c>
      <c r="C23">
        <v>17513</v>
      </c>
    </row>
    <row r="24" spans="1:3" x14ac:dyDescent="0.2">
      <c r="A24" t="s">
        <v>92</v>
      </c>
      <c r="C24">
        <v>4929</v>
      </c>
    </row>
    <row r="25" spans="1:3" x14ac:dyDescent="0.2">
      <c r="A25" t="s">
        <v>85</v>
      </c>
      <c r="C25">
        <f>-SUM(C23:C24)+C26</f>
        <v>1500</v>
      </c>
    </row>
    <row r="26" spans="1:3" ht="12" thickBot="1" x14ac:dyDescent="0.25">
      <c r="A26" t="s">
        <v>93</v>
      </c>
      <c r="C26" s="42">
        <v>23942</v>
      </c>
    </row>
    <row r="27" spans="1:3" ht="12" thickTop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E1" workbookViewId="0">
      <selection activeCell="P4" sqref="P4:P5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116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142463.93399999998</v>
      </c>
      <c r="C8" s="63"/>
      <c r="D8" s="68">
        <f>SUM(E8:M8)+O8+Q8</f>
        <v>144751.55199999997</v>
      </c>
      <c r="E8" s="68">
        <f>+'[12]06YTD'!J65</f>
        <v>97960.638999999996</v>
      </c>
      <c r="F8" s="68">
        <f>+'[12]06YTD'!K65</f>
        <v>28028.403999999988</v>
      </c>
      <c r="G8" s="68">
        <f>+'[12]06YTD'!L65</f>
        <v>15506.163</v>
      </c>
      <c r="H8" s="68">
        <f>+'[12]06YTD'!M65</f>
        <v>1735.4770000000003</v>
      </c>
      <c r="I8" s="68">
        <f>+'[12]06YTD'!N65</f>
        <v>-0.29800000000000115</v>
      </c>
      <c r="J8" s="68">
        <f>+'[12]06YTD'!O65</f>
        <v>374.76599999999996</v>
      </c>
      <c r="K8" s="68">
        <f>+'[12]06YTD'!P65</f>
        <v>86.854000000000141</v>
      </c>
      <c r="L8" s="68">
        <f>+'[12]06YTD'!Q65</f>
        <v>-0.40099999999994818</v>
      </c>
      <c r="M8" s="68">
        <f>+'[12]06YTD'!R65</f>
        <v>0</v>
      </c>
      <c r="N8" s="68">
        <f>+'[12]06YTD'!T65</f>
        <v>-0.40099999999994818</v>
      </c>
      <c r="O8" s="68">
        <f>+'[12]06YTD'!U65</f>
        <v>1149.922</v>
      </c>
      <c r="P8" s="68"/>
      <c r="Q8" s="68">
        <f>+'[12]06YTD'!V65</f>
        <v>-89.97399999999999</v>
      </c>
      <c r="S8" s="68">
        <f>+'[13]JUNE_YTD '!$H$8</f>
        <v>-2287.6179999999999</v>
      </c>
    </row>
    <row r="9" spans="1:19" ht="12.75" customHeight="1" outlineLevel="4" x14ac:dyDescent="0.2">
      <c r="A9" s="62" t="s">
        <v>29</v>
      </c>
      <c r="B9" s="69">
        <f>D9+S9</f>
        <v>12858.605000000001</v>
      </c>
      <c r="C9" s="63"/>
      <c r="D9" s="70">
        <f>SUM(E9:M9)+O9+Q9</f>
        <v>12858.605000000001</v>
      </c>
      <c r="E9" s="70">
        <f>-'[12]06YTD'!J72</f>
        <v>-7257.7129999999988</v>
      </c>
      <c r="F9" s="70">
        <f>-'[12]06YTD'!K72</f>
        <v>-198.20100000000005</v>
      </c>
      <c r="G9" s="70">
        <f>-'[12]06YTD'!L72</f>
        <v>0</v>
      </c>
      <c r="H9" s="70">
        <f>-'[12]06YTD'!M72</f>
        <v>1463.2829999999999</v>
      </c>
      <c r="I9" s="70">
        <f>-'[12]06YTD'!N72</f>
        <v>0</v>
      </c>
      <c r="J9" s="70">
        <f>-'[12]06YTD'!O72</f>
        <v>219.41</v>
      </c>
      <c r="K9" s="70">
        <f>-'[12]06YTD'!P72</f>
        <v>0</v>
      </c>
      <c r="L9" s="70">
        <f>-'[12]06YTD'!Q72</f>
        <v>0</v>
      </c>
      <c r="M9" s="70">
        <f>-'[12]06YTD'!R72</f>
        <v>0</v>
      </c>
      <c r="N9" s="70">
        <f>-'[12]06YTD'!T72</f>
        <v>0</v>
      </c>
      <c r="O9" s="70">
        <f>-'[12]06YTD'!U72</f>
        <v>18631.826000000001</v>
      </c>
      <c r="P9" s="70"/>
      <c r="Q9" s="70">
        <f>-'[12]06YTD'!V72</f>
        <v>0</v>
      </c>
      <c r="S9" s="70">
        <f>-'[13]JUNE_YTD '!$H$48</f>
        <v>0</v>
      </c>
    </row>
    <row r="10" spans="1:19" ht="12.75" customHeight="1" outlineLevel="4" x14ac:dyDescent="0.2">
      <c r="A10" s="67" t="s">
        <v>49</v>
      </c>
      <c r="B10" s="71">
        <f>B8+B9</f>
        <v>155322.53899999999</v>
      </c>
      <c r="C10" s="63"/>
      <c r="D10" s="71">
        <f>D8+D9</f>
        <v>157610.15699999998</v>
      </c>
      <c r="E10" s="71">
        <f>E8+E9</f>
        <v>90702.925999999992</v>
      </c>
      <c r="F10" s="71">
        <f t="shared" ref="F10:M10" si="0">F8+F9</f>
        <v>27830.202999999987</v>
      </c>
      <c r="G10" s="71">
        <f t="shared" si="0"/>
        <v>15506.163</v>
      </c>
      <c r="H10" s="71">
        <f t="shared" si="0"/>
        <v>3198.76</v>
      </c>
      <c r="I10" s="71">
        <f t="shared" si="0"/>
        <v>-0.29800000000000115</v>
      </c>
      <c r="J10" s="71">
        <f t="shared" si="0"/>
        <v>594.17599999999993</v>
      </c>
      <c r="K10" s="71">
        <f t="shared" si="0"/>
        <v>86.854000000000141</v>
      </c>
      <c r="L10" s="71">
        <f t="shared" si="0"/>
        <v>-0.40099999999994818</v>
      </c>
      <c r="M10" s="71">
        <f t="shared" si="0"/>
        <v>0</v>
      </c>
      <c r="N10" s="71">
        <f>N8+N9</f>
        <v>-0.40099999999994818</v>
      </c>
      <c r="O10" s="71">
        <f>O8+O9</f>
        <v>19781.748</v>
      </c>
      <c r="P10" s="71"/>
      <c r="Q10" s="71">
        <f>Q8+Q9</f>
        <v>-89.97399999999999</v>
      </c>
      <c r="S10" s="71">
        <f>S8+S9</f>
        <v>-2287.6179999999999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>D12+S12</f>
        <v>32553.524999999998</v>
      </c>
      <c r="C12" s="63"/>
      <c r="D12" s="68">
        <f t="shared" ref="D12:D18" si="1">SUM(E12:M12)+O12+Q12</f>
        <v>32553.524999999998</v>
      </c>
      <c r="E12" s="68">
        <f>+'[12]06YTD'!J36</f>
        <v>22763.345999999998</v>
      </c>
      <c r="F12" s="68">
        <f>+'[12]06YTD'!K36</f>
        <v>9790.1790000000001</v>
      </c>
      <c r="G12" s="68">
        <f>+'[12]06YTD'!L36</f>
        <v>0</v>
      </c>
      <c r="H12" s="68">
        <f>+'[12]06YTD'!M36</f>
        <v>0</v>
      </c>
      <c r="I12" s="68">
        <f>+'[12]06YTD'!N36</f>
        <v>0</v>
      </c>
      <c r="J12" s="68">
        <f>+'[12]06YTD'!O36</f>
        <v>0</v>
      </c>
      <c r="K12" s="68">
        <f>+'[12]06YTD'!P36</f>
        <v>0</v>
      </c>
      <c r="L12" s="68">
        <f>+'[12]06YTD'!Q36</f>
        <v>0</v>
      </c>
      <c r="M12" s="68">
        <f>+'[12]06YTD'!R36</f>
        <v>0</v>
      </c>
      <c r="N12" s="68">
        <f>+'[12]06YTD'!T36</f>
        <v>0</v>
      </c>
      <c r="O12" s="68">
        <f>+'[12]06YTD'!U36</f>
        <v>0</v>
      </c>
      <c r="P12" s="68"/>
      <c r="Q12" s="68">
        <f>+'[12]06YTD'!V36</f>
        <v>0</v>
      </c>
      <c r="S12" s="68">
        <f>+'[13]JUNE_YTD '!$H$11</f>
        <v>0</v>
      </c>
    </row>
    <row r="13" spans="1:19" ht="12.75" customHeight="1" outlineLevel="4" x14ac:dyDescent="0.2">
      <c r="A13" s="62" t="s">
        <v>6</v>
      </c>
      <c r="B13" s="63">
        <f t="shared" ref="B13:B18" si="2">D13+S13</f>
        <v>24870.669000000002</v>
      </c>
      <c r="C13" s="63"/>
      <c r="D13" s="68">
        <f t="shared" si="1"/>
        <v>24840.291000000001</v>
      </c>
      <c r="E13" s="68">
        <f>+'[12]06YTD'!J62</f>
        <v>23962.484</v>
      </c>
      <c r="F13" s="68">
        <f>+'[12]06YTD'!K62</f>
        <v>-601.00099999999998</v>
      </c>
      <c r="G13" s="68">
        <f>+'[12]06YTD'!L62</f>
        <v>0</v>
      </c>
      <c r="H13" s="68">
        <f>+'[12]06YTD'!M62</f>
        <v>402.553</v>
      </c>
      <c r="I13" s="68">
        <f>+'[12]06YTD'!N62</f>
        <v>0</v>
      </c>
      <c r="J13" s="68">
        <f>+'[12]06YTD'!O62</f>
        <v>0</v>
      </c>
      <c r="K13" s="68">
        <f>+'[12]06YTD'!P62</f>
        <v>-3.6429999999999998</v>
      </c>
      <c r="L13" s="68">
        <f>+'[12]06YTD'!Q62</f>
        <v>806.98699999999997</v>
      </c>
      <c r="M13" s="68">
        <f>+'[12]06YTD'!R62</f>
        <v>0</v>
      </c>
      <c r="N13" s="68">
        <f>+'[12]06YTD'!T62</f>
        <v>806.98699999999997</v>
      </c>
      <c r="O13" s="68">
        <f>+'[12]06YTD'!U62</f>
        <v>272.911</v>
      </c>
      <c r="P13" s="68"/>
      <c r="Q13" s="68">
        <f>+'[12]06YTD'!V62</f>
        <v>0</v>
      </c>
      <c r="S13" s="68">
        <f>+'[13]JUNE_YTD '!$H$12</f>
        <v>30.378</v>
      </c>
    </row>
    <row r="14" spans="1:19" ht="12.75" customHeight="1" outlineLevel="4" x14ac:dyDescent="0.2">
      <c r="A14" s="67" t="s">
        <v>22</v>
      </c>
      <c r="B14" s="63">
        <f t="shared" si="2"/>
        <v>-976.06100000000004</v>
      </c>
      <c r="C14" s="63"/>
      <c r="D14" s="68">
        <f t="shared" si="1"/>
        <v>-976.06100000000004</v>
      </c>
      <c r="E14" s="68">
        <f>-'[12]06YTD'!J46</f>
        <v>-976.06299999999999</v>
      </c>
      <c r="F14" s="68">
        <f>-'[12]06YTD'!K46</f>
        <v>2E-3</v>
      </c>
      <c r="G14" s="68">
        <f>-'[12]06YTD'!L46</f>
        <v>0</v>
      </c>
      <c r="H14" s="68">
        <f>-'[12]06YTD'!M46</f>
        <v>0</v>
      </c>
      <c r="I14" s="68">
        <f>-'[12]06YTD'!N46</f>
        <v>0</v>
      </c>
      <c r="J14" s="68">
        <f>-'[12]06YTD'!O46</f>
        <v>0</v>
      </c>
      <c r="K14" s="68">
        <f>-'[12]06YTD'!P46</f>
        <v>0</v>
      </c>
      <c r="L14" s="68">
        <f>-'[12]06YTD'!Q46</f>
        <v>0</v>
      </c>
      <c r="M14" s="68">
        <f>-'[12]06YTD'!R46</f>
        <v>0</v>
      </c>
      <c r="N14" s="68">
        <f>-'[12]06YTD'!T46</f>
        <v>0</v>
      </c>
      <c r="O14" s="68">
        <f>-'[12]06YTD'!U46</f>
        <v>0</v>
      </c>
      <c r="P14" s="68"/>
      <c r="Q14" s="68">
        <f>-'[12]06YTD'!V46</f>
        <v>0</v>
      </c>
      <c r="S14" s="68">
        <f>-'[13]JUNE_YTD '!$H$14</f>
        <v>0</v>
      </c>
    </row>
    <row r="15" spans="1:19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2"/>
        <v>-16930.223999999998</v>
      </c>
      <c r="C16" s="63"/>
      <c r="D16" s="68">
        <f t="shared" si="1"/>
        <v>-20858.194</v>
      </c>
      <c r="E16" s="68">
        <f>-'[12]06YTD'!J43</f>
        <v>-1917.5</v>
      </c>
      <c r="F16" s="68">
        <f>-'[12]06YTD'!K43</f>
        <v>0</v>
      </c>
      <c r="G16" s="68">
        <f>-'[12]06YTD'!L43</f>
        <v>-15506.163</v>
      </c>
      <c r="H16" s="68">
        <f>-'[12]06YTD'!M43</f>
        <v>-3434.5309999999999</v>
      </c>
      <c r="I16" s="68">
        <f>-'[12]06YTD'!N43</f>
        <v>0</v>
      </c>
      <c r="J16" s="68">
        <f>-'[12]06YTD'!O43</f>
        <v>0</v>
      </c>
      <c r="K16" s="68">
        <f>-'[12]06YTD'!P43</f>
        <v>0</v>
      </c>
      <c r="L16" s="68">
        <f>-'[12]06YTD'!Q43</f>
        <v>0</v>
      </c>
      <c r="M16" s="68">
        <f>-'[12]06YTD'!R43</f>
        <v>0</v>
      </c>
      <c r="N16" s="68">
        <f>-'[12]06YTD'!T43</f>
        <v>0</v>
      </c>
      <c r="O16" s="68">
        <f>-'[12]06YTD'!U43</f>
        <v>0</v>
      </c>
      <c r="P16" s="68"/>
      <c r="Q16" s="68">
        <f>-'[12]06YTD'!V43</f>
        <v>0</v>
      </c>
      <c r="S16" s="68">
        <f>'[13]JUNE_YTD '!$H$15</f>
        <v>3927.9700000000003</v>
      </c>
    </row>
    <row r="17" spans="1:19" ht="12.75" customHeight="1" outlineLevel="4" x14ac:dyDescent="0.2">
      <c r="A17" s="67" t="s">
        <v>39</v>
      </c>
      <c r="B17" s="63">
        <f t="shared" si="2"/>
        <v>6666</v>
      </c>
      <c r="C17" s="63"/>
      <c r="D17" s="68">
        <f t="shared" si="1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+'[13]JUNE_YTD '!$H$16</f>
        <v>3400</v>
      </c>
    </row>
    <row r="18" spans="1:19" ht="12.75" customHeight="1" outlineLevel="4" x14ac:dyDescent="0.2">
      <c r="A18" s="67" t="s">
        <v>32</v>
      </c>
      <c r="B18" s="69">
        <f t="shared" si="2"/>
        <v>-4873</v>
      </c>
      <c r="C18" s="63"/>
      <c r="D18" s="68">
        <f t="shared" si="1"/>
        <v>-5035</v>
      </c>
      <c r="E18" s="70">
        <f>-6539-13095-14700</f>
        <v>-34334</v>
      </c>
      <c r="F18" s="70">
        <f>645+2783+1152</f>
        <v>4580</v>
      </c>
      <c r="G18" s="70">
        <v>0</v>
      </c>
      <c r="H18" s="70"/>
      <c r="I18" s="70">
        <v>1</v>
      </c>
      <c r="J18" s="70">
        <v>-35</v>
      </c>
      <c r="K18" s="70">
        <v>0</v>
      </c>
      <c r="L18" s="70">
        <v>21213</v>
      </c>
      <c r="M18" s="70"/>
      <c r="N18" s="68">
        <f>M18+L18</f>
        <v>21213</v>
      </c>
      <c r="O18" s="70">
        <v>3756</v>
      </c>
      <c r="P18" s="70"/>
      <c r="Q18" s="70">
        <v>-216</v>
      </c>
      <c r="S18" s="68">
        <f>+'[13]JUNE_YTD '!$H$17</f>
        <v>162</v>
      </c>
    </row>
    <row r="19" spans="1:19" ht="12.75" customHeight="1" outlineLevel="4" x14ac:dyDescent="0.2">
      <c r="A19" s="62" t="s">
        <v>31</v>
      </c>
      <c r="B19" s="73">
        <f>SUM(B10:B18)</f>
        <v>196633.448</v>
      </c>
      <c r="C19" s="63"/>
      <c r="D19" s="73">
        <f>SUM(D10:D18)</f>
        <v>191400.71799999999</v>
      </c>
      <c r="E19" s="73">
        <f>SUM(E10:E18)</f>
        <v>101835.193</v>
      </c>
      <c r="F19" s="73">
        <f t="shared" ref="F19:S19" si="3">SUM(F10:F18)</f>
        <v>41599.382999999987</v>
      </c>
      <c r="G19" s="73">
        <f t="shared" si="3"/>
        <v>0</v>
      </c>
      <c r="H19" s="73">
        <f t="shared" si="3"/>
        <v>1798.7820000000002</v>
      </c>
      <c r="I19" s="73">
        <f t="shared" si="3"/>
        <v>0.70199999999999885</v>
      </c>
      <c r="J19" s="73">
        <f t="shared" si="3"/>
        <v>559.17599999999993</v>
      </c>
      <c r="K19" s="73">
        <f t="shared" si="3"/>
        <v>83.211000000000141</v>
      </c>
      <c r="L19" s="73">
        <f t="shared" si="3"/>
        <v>22019.585999999999</v>
      </c>
      <c r="M19" s="73">
        <f t="shared" si="3"/>
        <v>0</v>
      </c>
      <c r="N19" s="73">
        <f t="shared" si="3"/>
        <v>22019.585999999999</v>
      </c>
      <c r="O19" s="73">
        <f t="shared" si="3"/>
        <v>23810.659</v>
      </c>
      <c r="P19" s="73"/>
      <c r="Q19" s="73">
        <f t="shared" si="3"/>
        <v>-305.97399999999999</v>
      </c>
      <c r="S19" s="73">
        <f t="shared" si="3"/>
        <v>5232.7300000000005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-22112</v>
      </c>
      <c r="C22" s="63"/>
      <c r="D22" s="68">
        <f t="shared" ref="D22:D30" si="5">SUM(E22:M22)+O22+Q22</f>
        <v>-24778</v>
      </c>
      <c r="E22" s="68">
        <v>-23682</v>
      </c>
      <c r="F22" s="68">
        <v>-1144</v>
      </c>
      <c r="G22" s="68"/>
      <c r="H22" s="68">
        <v>-174</v>
      </c>
      <c r="I22" s="68">
        <v>13</v>
      </c>
      <c r="J22" s="68">
        <v>-1273</v>
      </c>
      <c r="K22" s="68">
        <v>274</v>
      </c>
      <c r="L22" s="68">
        <v>26</v>
      </c>
      <c r="M22" s="68"/>
      <c r="N22" s="68">
        <f t="shared" ref="N22:N30" si="6">M22+L22</f>
        <v>26</v>
      </c>
      <c r="O22" s="68">
        <v>1280</v>
      </c>
      <c r="P22" s="68"/>
      <c r="Q22" s="68">
        <v>-98</v>
      </c>
      <c r="S22" s="68">
        <f>+'[13]JUNE_YTD '!$H$20</f>
        <v>2666</v>
      </c>
    </row>
    <row r="23" spans="1:19" ht="12.75" customHeight="1" outlineLevel="4" x14ac:dyDescent="0.2">
      <c r="A23" s="67" t="s">
        <v>20</v>
      </c>
      <c r="B23" s="63">
        <f t="shared" si="4"/>
        <v>-9499</v>
      </c>
      <c r="C23" s="63"/>
      <c r="D23" s="68">
        <f t="shared" si="5"/>
        <v>-9499</v>
      </c>
      <c r="E23" s="68">
        <v>-3436</v>
      </c>
      <c r="F23" s="68">
        <v>-3813</v>
      </c>
      <c r="G23" s="68"/>
      <c r="H23" s="68"/>
      <c r="I23" s="68">
        <v>-13</v>
      </c>
      <c r="J23" s="68">
        <v>3168</v>
      </c>
      <c r="K23" s="68">
        <v>-743</v>
      </c>
      <c r="L23" s="68">
        <v>-20044</v>
      </c>
      <c r="M23" s="68"/>
      <c r="N23" s="68">
        <f t="shared" si="6"/>
        <v>-20044</v>
      </c>
      <c r="O23" s="68">
        <v>14946</v>
      </c>
      <c r="P23" s="68"/>
      <c r="Q23" s="68">
        <v>436</v>
      </c>
      <c r="S23" s="68">
        <f>+'[13]JUNE_YTD '!$H$21</f>
        <v>0</v>
      </c>
    </row>
    <row r="24" spans="1:19" ht="12.75" customHeight="1" outlineLevel="4" x14ac:dyDescent="0.2">
      <c r="A24" s="67" t="s">
        <v>9</v>
      </c>
      <c r="B24" s="63">
        <f t="shared" si="4"/>
        <v>372</v>
      </c>
      <c r="C24" s="63"/>
      <c r="D24" s="68">
        <f t="shared" si="5"/>
        <v>372</v>
      </c>
      <c r="E24" s="68">
        <v>68</v>
      </c>
      <c r="F24" s="68">
        <v>131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+[11]MAY_YTD!$H$22</f>
        <v>0</v>
      </c>
    </row>
    <row r="25" spans="1:19" ht="12.75" customHeight="1" outlineLevel="4" x14ac:dyDescent="0.2">
      <c r="A25" s="67" t="s">
        <v>10</v>
      </c>
      <c r="B25" s="63">
        <f t="shared" si="4"/>
        <v>5</v>
      </c>
      <c r="C25" s="63"/>
      <c r="D25" s="68">
        <f t="shared" si="5"/>
        <v>5</v>
      </c>
      <c r="E25" s="68">
        <v>0</v>
      </c>
      <c r="F25" s="68">
        <v>5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+'[13]JUNE_YTD '!$H$23</f>
        <v>0</v>
      </c>
    </row>
    <row r="26" spans="1:19" ht="12.75" customHeight="1" outlineLevel="4" x14ac:dyDescent="0.2">
      <c r="A26" s="67" t="s">
        <v>11</v>
      </c>
      <c r="B26" s="63">
        <f t="shared" si="4"/>
        <v>-8370</v>
      </c>
      <c r="C26" s="63"/>
      <c r="D26" s="68">
        <f t="shared" si="5"/>
        <v>-8377</v>
      </c>
      <c r="E26" s="68">
        <v>-2484</v>
      </c>
      <c r="F26" s="68">
        <v>-2701</v>
      </c>
      <c r="G26" s="68"/>
      <c r="H26" s="68">
        <v>-389</v>
      </c>
      <c r="I26" s="68"/>
      <c r="J26" s="68">
        <v>-1294</v>
      </c>
      <c r="K26" s="68">
        <v>-5</v>
      </c>
      <c r="L26" s="68">
        <v>-110</v>
      </c>
      <c r="M26" s="68"/>
      <c r="N26" s="68">
        <f t="shared" si="6"/>
        <v>-110</v>
      </c>
      <c r="O26" s="68">
        <v>-1257</v>
      </c>
      <c r="P26" s="68"/>
      <c r="Q26" s="68">
        <v>-137</v>
      </c>
      <c r="S26" s="68">
        <f>+'[13]JUNE_YTD '!$H$24</f>
        <v>7</v>
      </c>
    </row>
    <row r="27" spans="1:19" ht="12.75" customHeight="1" outlineLevel="4" x14ac:dyDescent="0.2">
      <c r="A27" s="62" t="s">
        <v>12</v>
      </c>
      <c r="B27" s="63">
        <f t="shared" si="4"/>
        <v>-6313</v>
      </c>
      <c r="C27" s="63"/>
      <c r="D27" s="68">
        <f t="shared" si="5"/>
        <v>-6313</v>
      </c>
      <c r="E27" s="68">
        <v>-4797</v>
      </c>
      <c r="F27" s="68">
        <v>-1516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+'[13]JUNE_YTD '!$H$25</f>
        <v>0</v>
      </c>
    </row>
    <row r="28" spans="1:19" ht="12.75" customHeight="1" outlineLevel="4" x14ac:dyDescent="0.2">
      <c r="A28" s="67" t="s">
        <v>13</v>
      </c>
      <c r="B28" s="63">
        <f t="shared" si="4"/>
        <v>-2793</v>
      </c>
      <c r="C28" s="63"/>
      <c r="D28" s="68">
        <f t="shared" si="5"/>
        <v>-3028</v>
      </c>
      <c r="E28" s="68">
        <v>-1462</v>
      </c>
      <c r="F28" s="68">
        <v>-295</v>
      </c>
      <c r="G28" s="68"/>
      <c r="H28" s="68">
        <v>3</v>
      </c>
      <c r="I28" s="68"/>
      <c r="J28" s="68">
        <v>-3</v>
      </c>
      <c r="K28" s="68">
        <v>-2</v>
      </c>
      <c r="L28" s="68">
        <v>-1262</v>
      </c>
      <c r="M28" s="68">
        <v>0</v>
      </c>
      <c r="N28" s="68">
        <f t="shared" si="6"/>
        <v>-1262</v>
      </c>
      <c r="O28" s="68">
        <v>-7</v>
      </c>
      <c r="P28" s="68"/>
      <c r="Q28" s="68"/>
      <c r="S28" s="68">
        <f>+'[13]JUNE_YTD '!$H$26</f>
        <v>235</v>
      </c>
    </row>
    <row r="29" spans="1:19" ht="12.75" customHeight="1" outlineLevel="4" x14ac:dyDescent="0.2">
      <c r="A29" s="67" t="s">
        <v>14</v>
      </c>
      <c r="B29" s="63">
        <f t="shared" si="4"/>
        <v>-1034</v>
      </c>
      <c r="C29" s="63"/>
      <c r="D29" s="68">
        <f t="shared" si="5"/>
        <v>-1034</v>
      </c>
      <c r="E29" s="72">
        <v>0</v>
      </c>
      <c r="F29" s="72">
        <v>-1034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+'[13]JUNE_YTD '!$H$27</f>
        <v>0</v>
      </c>
    </row>
    <row r="30" spans="1:19" ht="12.75" customHeight="1" outlineLevel="4" x14ac:dyDescent="0.2">
      <c r="A30" s="67" t="s">
        <v>30</v>
      </c>
      <c r="B30" s="69">
        <f t="shared" si="4"/>
        <v>-8852</v>
      </c>
      <c r="C30" s="63"/>
      <c r="D30" s="68">
        <f t="shared" si="5"/>
        <v>-8852</v>
      </c>
      <c r="E30" s="70">
        <v>-9341</v>
      </c>
      <c r="F30" s="70">
        <v>183</v>
      </c>
      <c r="G30" s="70"/>
      <c r="H30" s="70">
        <v>-544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847</v>
      </c>
      <c r="P30" s="70"/>
      <c r="Q30" s="70"/>
      <c r="S30" s="68">
        <f>+'[13]JUNE_YTD '!$H$28</f>
        <v>0</v>
      </c>
    </row>
    <row r="31" spans="1:19" ht="12.75" customHeight="1" outlineLevel="4" x14ac:dyDescent="0.2">
      <c r="A31" s="67" t="s">
        <v>33</v>
      </c>
      <c r="B31" s="84">
        <f>SUM(B21:B30)</f>
        <v>-58596</v>
      </c>
      <c r="C31" s="74"/>
      <c r="D31" s="84">
        <f>SUM(D21:D30)</f>
        <v>-61504</v>
      </c>
      <c r="E31" s="84">
        <f>SUM(E21:E30)</f>
        <v>-45134</v>
      </c>
      <c r="F31" s="84">
        <f t="shared" ref="F31:S31" si="7">SUM(F21:F30)</f>
        <v>-10184</v>
      </c>
      <c r="G31" s="84">
        <f t="shared" si="7"/>
        <v>0</v>
      </c>
      <c r="H31" s="84">
        <f t="shared" si="7"/>
        <v>-1104</v>
      </c>
      <c r="I31" s="84">
        <f t="shared" si="7"/>
        <v>0</v>
      </c>
      <c r="J31" s="84">
        <f t="shared" si="7"/>
        <v>598</v>
      </c>
      <c r="K31" s="84">
        <f t="shared" si="7"/>
        <v>-476</v>
      </c>
      <c r="L31" s="84">
        <f t="shared" si="7"/>
        <v>-21214</v>
      </c>
      <c r="M31" s="84">
        <f t="shared" si="7"/>
        <v>0</v>
      </c>
      <c r="N31" s="84">
        <f t="shared" si="7"/>
        <v>-21214</v>
      </c>
      <c r="O31" s="84">
        <f t="shared" si="7"/>
        <v>15809</v>
      </c>
      <c r="P31" s="84"/>
      <c r="Q31" s="84">
        <f t="shared" si="7"/>
        <v>201</v>
      </c>
      <c r="S31" s="84">
        <f t="shared" si="7"/>
        <v>2908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138037.448</v>
      </c>
      <c r="C33" s="63"/>
      <c r="D33" s="75">
        <f t="shared" ref="D33:Q33" si="8">D19+D31</f>
        <v>129896.71799999999</v>
      </c>
      <c r="E33" s="75">
        <f t="shared" si="8"/>
        <v>56701.192999999999</v>
      </c>
      <c r="F33" s="75">
        <f t="shared" si="8"/>
        <v>31415.382999999987</v>
      </c>
      <c r="G33" s="75">
        <f t="shared" si="8"/>
        <v>0</v>
      </c>
      <c r="H33" s="75">
        <f t="shared" si="8"/>
        <v>694.78200000000015</v>
      </c>
      <c r="I33" s="75">
        <f t="shared" si="8"/>
        <v>0.70199999999999885</v>
      </c>
      <c r="J33" s="75">
        <f t="shared" si="8"/>
        <v>1157.1759999999999</v>
      </c>
      <c r="K33" s="75">
        <f t="shared" si="8"/>
        <v>-392.78899999999987</v>
      </c>
      <c r="L33" s="75">
        <f t="shared" si="8"/>
        <v>805.58599999999933</v>
      </c>
      <c r="M33" s="75">
        <f t="shared" si="8"/>
        <v>0</v>
      </c>
      <c r="N33" s="75">
        <f t="shared" si="8"/>
        <v>805.58599999999933</v>
      </c>
      <c r="O33" s="75">
        <f t="shared" si="8"/>
        <v>39619.659</v>
      </c>
      <c r="P33" s="75"/>
      <c r="Q33" s="75">
        <f t="shared" si="8"/>
        <v>-104.97399999999999</v>
      </c>
      <c r="S33" s="75">
        <f>S19+S31</f>
        <v>8140.7300000000005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5479</v>
      </c>
      <c r="C36" s="63"/>
      <c r="D36" s="68">
        <f>SUM(E36:M36)+O36+Q36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-30095</v>
      </c>
      <c r="C37" s="63"/>
      <c r="D37" s="68">
        <f>SUM(E37:M37)+O37+Q37</f>
        <v>-30095</v>
      </c>
      <c r="E37" s="76">
        <v>-17533</v>
      </c>
      <c r="F37" s="76">
        <v>-12562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27950</v>
      </c>
      <c r="C38" s="63"/>
      <c r="D38" s="68">
        <f>SUM(E38:M38)+O38+Q38</f>
        <v>27950</v>
      </c>
      <c r="E38" s="76">
        <f>28160-307</f>
        <v>27853</v>
      </c>
      <c r="F38" s="76">
        <f>324-227</f>
        <v>97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+'[13]JUNE_YTD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-14</v>
      </c>
      <c r="C41" s="63"/>
      <c r="D41" s="70">
        <f>SUM(E41:M41)+O41+Q41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>SUM(B36:B41)</f>
        <v>-3450</v>
      </c>
      <c r="C42" s="77">
        <f>SUM(C36:C41)</f>
        <v>0</v>
      </c>
      <c r="D42" s="75">
        <f>SUM(D36:D41)</f>
        <v>3320</v>
      </c>
      <c r="E42" s="75">
        <f>SUM(E36:E41)</f>
        <v>15785</v>
      </c>
      <c r="F42" s="75">
        <f t="shared" ref="F42:S42" si="10">SUM(F36:F41)</f>
        <v>-12465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/>
      <c r="Q42" s="75">
        <f t="shared" si="10"/>
        <v>0</v>
      </c>
      <c r="S42" s="75">
        <f t="shared" si="10"/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0</v>
      </c>
      <c r="C48" s="63"/>
      <c r="D48" s="68">
        <f>SUM(E48:M48)+O48+Q48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/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S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/>
      <c r="Q50" s="79">
        <f t="shared" si="11"/>
        <v>0</v>
      </c>
      <c r="S50" s="79">
        <f t="shared" si="11"/>
        <v>0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161587.448</v>
      </c>
      <c r="C52" s="63"/>
      <c r="D52" s="77">
        <f t="shared" ref="D52:M52" si="12">D33+D42+D50</f>
        <v>160216.71799999999</v>
      </c>
      <c r="E52" s="77">
        <f t="shared" si="12"/>
        <v>72486.192999999999</v>
      </c>
      <c r="F52" s="77">
        <f t="shared" si="12"/>
        <v>45950.382999999987</v>
      </c>
      <c r="G52" s="77">
        <f t="shared" si="12"/>
        <v>0</v>
      </c>
      <c r="H52" s="77">
        <f t="shared" si="12"/>
        <v>694.78200000000015</v>
      </c>
      <c r="I52" s="77">
        <f t="shared" si="12"/>
        <v>0.70199999999999885</v>
      </c>
      <c r="J52" s="77">
        <f t="shared" si="12"/>
        <v>1157.1759999999999</v>
      </c>
      <c r="K52" s="77">
        <f t="shared" si="12"/>
        <v>-392.78899999999987</v>
      </c>
      <c r="L52" s="77">
        <f t="shared" si="12"/>
        <v>805.58599999999933</v>
      </c>
      <c r="M52" s="77">
        <f t="shared" si="12"/>
        <v>0</v>
      </c>
      <c r="N52" s="77">
        <f>M52+L52</f>
        <v>805.58599999999933</v>
      </c>
      <c r="O52" s="77">
        <f>O33+O42+O50</f>
        <v>39619.659</v>
      </c>
      <c r="P52" s="77"/>
      <c r="Q52" s="77">
        <f>Q33+Q42+Q50</f>
        <v>-104.97399999999999</v>
      </c>
      <c r="S52" s="77">
        <f>S33+S42+S50</f>
        <v>1370.7300000000005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3542</v>
      </c>
      <c r="C54" s="63"/>
      <c r="D54" s="70">
        <f>SUM(E54:M54)+O54+Q54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/>
      <c r="Q54" s="80">
        <v>-5</v>
      </c>
      <c r="S54" s="80">
        <f>+'[13]JUNE_YTD '!$H$50</f>
        <v>3547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158045.448</v>
      </c>
      <c r="C56" s="63"/>
      <c r="D56" s="81">
        <f t="shared" ref="D56:Q56" si="13">D52-D54</f>
        <v>160221.71799999999</v>
      </c>
      <c r="E56" s="81">
        <f t="shared" si="13"/>
        <v>72486.192999999999</v>
      </c>
      <c r="F56" s="81">
        <f t="shared" si="13"/>
        <v>45950.382999999987</v>
      </c>
      <c r="G56" s="81">
        <f t="shared" si="13"/>
        <v>0</v>
      </c>
      <c r="H56" s="81">
        <f t="shared" si="13"/>
        <v>694.78200000000015</v>
      </c>
      <c r="I56" s="81">
        <f t="shared" si="13"/>
        <v>0.70199999999999885</v>
      </c>
      <c r="J56" s="81">
        <f t="shared" si="13"/>
        <v>1157.1759999999999</v>
      </c>
      <c r="K56" s="81">
        <f t="shared" si="13"/>
        <v>-392.78899999999987</v>
      </c>
      <c r="L56" s="81">
        <f t="shared" si="13"/>
        <v>805.58599999999933</v>
      </c>
      <c r="M56" s="81">
        <f t="shared" si="13"/>
        <v>0</v>
      </c>
      <c r="N56" s="81">
        <f t="shared" si="13"/>
        <v>805.58599999999933</v>
      </c>
      <c r="O56" s="81">
        <f t="shared" si="13"/>
        <v>39619.659</v>
      </c>
      <c r="P56" s="81"/>
      <c r="Q56" s="81">
        <f t="shared" si="13"/>
        <v>-99.97399999999999</v>
      </c>
      <c r="S56" s="81">
        <f>S52-S54</f>
        <v>-2176.2699999999995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-27040</v>
      </c>
      <c r="C58" s="46"/>
      <c r="D58" s="70">
        <f>SUM(E58:Q58)</f>
        <v>-27040</v>
      </c>
      <c r="E58" s="80">
        <v>-39</v>
      </c>
      <c r="F58" s="80">
        <v>-27000</v>
      </c>
      <c r="G58" s="80">
        <v>0</v>
      </c>
      <c r="H58" s="80">
        <v>0</v>
      </c>
      <c r="I58" s="80">
        <v>145</v>
      </c>
      <c r="J58" s="80">
        <v>-997</v>
      </c>
      <c r="K58" s="80">
        <v>851</v>
      </c>
      <c r="L58" s="80">
        <v>0</v>
      </c>
      <c r="M58" s="80">
        <v>0</v>
      </c>
      <c r="N58" s="80">
        <v>0</v>
      </c>
      <c r="O58" s="80">
        <v>0</v>
      </c>
      <c r="P58" s="80"/>
      <c r="Q58" s="80">
        <v>0</v>
      </c>
      <c r="S58" s="80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131005.448</v>
      </c>
      <c r="C60" s="46"/>
      <c r="D60" s="81">
        <f t="shared" ref="D60:M60" si="14">D56+D58</f>
        <v>133181.71799999999</v>
      </c>
      <c r="E60" s="81">
        <f t="shared" si="14"/>
        <v>72447.192999999999</v>
      </c>
      <c r="F60" s="81">
        <f t="shared" si="14"/>
        <v>18950.382999999987</v>
      </c>
      <c r="G60" s="81">
        <f t="shared" si="14"/>
        <v>0</v>
      </c>
      <c r="H60" s="81">
        <f t="shared" si="14"/>
        <v>694.78200000000015</v>
      </c>
      <c r="I60" s="81">
        <f t="shared" si="14"/>
        <v>145.702</v>
      </c>
      <c r="J60" s="81">
        <f t="shared" si="14"/>
        <v>160.17599999999993</v>
      </c>
      <c r="K60" s="81">
        <f t="shared" si="14"/>
        <v>458.21100000000013</v>
      </c>
      <c r="L60" s="81">
        <f t="shared" si="14"/>
        <v>805.58599999999933</v>
      </c>
      <c r="M60" s="81">
        <f t="shared" si="14"/>
        <v>0</v>
      </c>
      <c r="N60" s="81">
        <f>M60+L60</f>
        <v>805.58599999999933</v>
      </c>
      <c r="O60" s="81">
        <f>O56+O58</f>
        <v>39619.659</v>
      </c>
      <c r="P60" s="81"/>
      <c r="Q60" s="81">
        <f>Q56-Q58</f>
        <v>-99.97399999999999</v>
      </c>
      <c r="S60" s="81">
        <f>S56+S58</f>
        <v>-2176.2699999999995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72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19930.81900000004</v>
      </c>
      <c r="C8" s="63"/>
      <c r="D8" s="68">
        <f>SUM(E8:M8)+O8+P8</f>
        <v>19789.879000000041</v>
      </c>
      <c r="E8" s="68">
        <f>MayYTD!E8-AprYTD!E8</f>
        <v>10217.576000000037</v>
      </c>
      <c r="F8" s="68">
        <f>MayYTD!F8-AprYTD!F8</f>
        <v>5146.5530000000035</v>
      </c>
      <c r="G8" s="68">
        <f>MayYTD!G8-AprYTD!G8</f>
        <v>2413.2019999999993</v>
      </c>
      <c r="H8" s="68">
        <f>MayYTD!H8-AprYTD!H8</f>
        <v>329.86600000000021</v>
      </c>
      <c r="I8" s="68">
        <f>MayYTD!I8-AprYTD!I8</f>
        <v>-6.3829999999999982</v>
      </c>
      <c r="J8" s="68">
        <f>MayYTD!J8-AprYTD!J8</f>
        <v>162.23300000000057</v>
      </c>
      <c r="K8" s="68">
        <f>MayYTD!K8-AprYTD!K8</f>
        <v>3.1689999999998122</v>
      </c>
      <c r="L8" s="68">
        <f>MayYTD!L8-AprYTD!L8</f>
        <v>-7.480000000000004</v>
      </c>
      <c r="M8" s="68">
        <f>MayYTD!M8-AprYTD!M8</f>
        <v>0</v>
      </c>
      <c r="N8" s="68">
        <f>M8+L8</f>
        <v>-7.480000000000004</v>
      </c>
      <c r="O8" s="68">
        <f>MayYTD!O8-AprYTD!O8</f>
        <v>1576.6959999999999</v>
      </c>
      <c r="P8" s="68">
        <f>MayYTD!P8-AprYTD!P8</f>
        <v>-45.553000000000011</v>
      </c>
      <c r="R8" s="68">
        <f>MayYTD!R8-AprYTD!R8</f>
        <v>140.94000000000005</v>
      </c>
    </row>
    <row r="9" spans="1:18" ht="12.75" customHeight="1" outlineLevel="4" x14ac:dyDescent="0.2">
      <c r="A9" s="62" t="s">
        <v>29</v>
      </c>
      <c r="B9" s="69">
        <f>D9+R9</f>
        <v>2428.0659999999989</v>
      </c>
      <c r="C9" s="63"/>
      <c r="D9" s="70">
        <f>SUM(E9:M9)+O9+P9</f>
        <v>2428.0659999999989</v>
      </c>
      <c r="E9" s="70">
        <f>MayYTD!E9-AprYTD!E9</f>
        <v>-1172.0649999999996</v>
      </c>
      <c r="F9" s="70">
        <f>MayYTD!F9-AprYTD!F9</f>
        <v>234.19800000000038</v>
      </c>
      <c r="G9" s="70">
        <f>MayYTD!G9-AprYTD!G9</f>
        <v>0</v>
      </c>
      <c r="H9" s="70">
        <f>MayYTD!H9-AprYTD!H9</f>
        <v>292.65699999999993</v>
      </c>
      <c r="I9" s="70">
        <f>MayYTD!I9-AprYTD!I9</f>
        <v>0</v>
      </c>
      <c r="J9" s="70">
        <f>MayYTD!J9-AprYTD!J9</f>
        <v>27.116000000000014</v>
      </c>
      <c r="K9" s="70">
        <f>MayYTD!K9-AprYTD!K9</f>
        <v>0</v>
      </c>
      <c r="L9" s="70">
        <f>MayYTD!L9-AprYTD!L9</f>
        <v>0</v>
      </c>
      <c r="M9" s="70">
        <f>MayYTD!M9-AprYTD!M9</f>
        <v>0</v>
      </c>
      <c r="N9" s="70">
        <f>M9+L9</f>
        <v>0</v>
      </c>
      <c r="O9" s="70">
        <f>MayYTD!O9-AprYTD!O9</f>
        <v>3046.159999999998</v>
      </c>
      <c r="P9" s="70">
        <f>MayYTD!P9-AprYTD!P9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22358.885000000038</v>
      </c>
      <c r="C10" s="63"/>
      <c r="D10" s="71">
        <f t="shared" ref="D10:M10" si="0">D8+D9</f>
        <v>22217.94500000004</v>
      </c>
      <c r="E10" s="71">
        <f t="shared" si="0"/>
        <v>9045.5110000000386</v>
      </c>
      <c r="F10" s="71">
        <f t="shared" si="0"/>
        <v>5380.7510000000038</v>
      </c>
      <c r="G10" s="71">
        <f t="shared" si="0"/>
        <v>2413.2019999999993</v>
      </c>
      <c r="H10" s="71">
        <f t="shared" si="0"/>
        <v>622.52300000000014</v>
      </c>
      <c r="I10" s="71">
        <f t="shared" si="0"/>
        <v>-6.3829999999999982</v>
      </c>
      <c r="J10" s="71">
        <f t="shared" si="0"/>
        <v>189.34900000000059</v>
      </c>
      <c r="K10" s="71">
        <f t="shared" si="0"/>
        <v>3.1689999999998122</v>
      </c>
      <c r="L10" s="71">
        <f t="shared" si="0"/>
        <v>-7.480000000000004</v>
      </c>
      <c r="M10" s="71">
        <f t="shared" si="0"/>
        <v>0</v>
      </c>
      <c r="N10" s="71">
        <f>N8</f>
        <v>-7.480000000000004</v>
      </c>
      <c r="O10" s="71">
        <f>O8+O9</f>
        <v>4622.8559999999979</v>
      </c>
      <c r="P10" s="71">
        <f>P8+P9</f>
        <v>-45.553000000000011</v>
      </c>
      <c r="R10" s="71">
        <f>R8+R9</f>
        <v>140.94000000000005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5563.8350000000009</v>
      </c>
      <c r="C12" s="63"/>
      <c r="D12" s="68">
        <f t="shared" ref="D12:D18" si="1">SUM(E12:M12)+O12+P12</f>
        <v>5563.8350000000009</v>
      </c>
      <c r="E12" s="68">
        <f>MayYTD!E12-AprYTD!E12</f>
        <v>3909.4340000000011</v>
      </c>
      <c r="F12" s="68">
        <f>MayYTD!F12-AprYTD!F12</f>
        <v>1654.4009999999998</v>
      </c>
      <c r="G12" s="68">
        <f>MayYTD!G12-AprYTD!G12</f>
        <v>0</v>
      </c>
      <c r="H12" s="68">
        <f>MayYTD!H12-AprYTD!H12</f>
        <v>0</v>
      </c>
      <c r="I12" s="68">
        <f>MayYTD!I12-AprYTD!I12</f>
        <v>0</v>
      </c>
      <c r="J12" s="68">
        <f>MayYTD!J12-AprYTD!J12</f>
        <v>0</v>
      </c>
      <c r="K12" s="68">
        <f>MayYTD!K12-AprYTD!K12</f>
        <v>0</v>
      </c>
      <c r="L12" s="68">
        <f>MayYTD!L12-AprYTD!L12</f>
        <v>0</v>
      </c>
      <c r="M12" s="68">
        <f>MayYTD!M12-AprYTD!M12</f>
        <v>0</v>
      </c>
      <c r="N12" s="68">
        <f t="shared" ref="N12:N18" si="2">M12+L12</f>
        <v>0</v>
      </c>
      <c r="O12" s="68">
        <f>MayYTD!O12-AprYTD!O12</f>
        <v>0</v>
      </c>
      <c r="P12" s="68">
        <f>MayYTD!P12-AprYTD!P12</f>
        <v>0</v>
      </c>
      <c r="R12" s="68">
        <f>MayYTD!R12-AprYTD!R12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3650.0859999999984</v>
      </c>
      <c r="C13" s="63"/>
      <c r="D13" s="68">
        <f t="shared" si="1"/>
        <v>3645.0229999999983</v>
      </c>
      <c r="E13" s="68">
        <f>MayYTD!E13-AprYTD!E13</f>
        <v>3529.1729999999989</v>
      </c>
      <c r="F13" s="68">
        <f>MayYTD!F13-AprYTD!F13</f>
        <v>58.496999999999844</v>
      </c>
      <c r="G13" s="68">
        <f>MayYTD!G13-AprYTD!G13</f>
        <v>0</v>
      </c>
      <c r="H13" s="68">
        <f>MayYTD!H13-AprYTD!H13</f>
        <v>52.899000000000001</v>
      </c>
      <c r="I13" s="68">
        <f>MayYTD!I13-AprYTD!I13</f>
        <v>0</v>
      </c>
      <c r="J13" s="68">
        <f>MayYTD!J13-AprYTD!J13</f>
        <v>0</v>
      </c>
      <c r="K13" s="68">
        <f>MayYTD!K13-AprYTD!K13</f>
        <v>-0.60799999999999965</v>
      </c>
      <c r="L13" s="68">
        <f>MayYTD!L13-AprYTD!L13</f>
        <v>5.0620000000000012</v>
      </c>
      <c r="M13" s="68">
        <f>MayYTD!M13-AprYTD!M13</f>
        <v>0</v>
      </c>
      <c r="N13" s="68">
        <f t="shared" si="2"/>
        <v>5.0620000000000012</v>
      </c>
      <c r="O13" s="68">
        <f>MayYTD!O13-AprYTD!O13</f>
        <v>0</v>
      </c>
      <c r="P13" s="68">
        <f>MayYTD!P13-AprYTD!P13</f>
        <v>0</v>
      </c>
      <c r="R13" s="68">
        <f>MayYTD!R13-AprYTD!R13</f>
        <v>5.0630000000000024</v>
      </c>
    </row>
    <row r="14" spans="1:18" ht="12.75" customHeight="1" outlineLevel="4" x14ac:dyDescent="0.2">
      <c r="A14" s="67" t="s">
        <v>22</v>
      </c>
      <c r="B14" s="63">
        <f t="shared" si="3"/>
        <v>-967.95299999999997</v>
      </c>
      <c r="C14" s="63"/>
      <c r="D14" s="68">
        <f t="shared" si="1"/>
        <v>-967.95299999999997</v>
      </c>
      <c r="E14" s="68">
        <f>MayYTD!E14-AprYTD!E14</f>
        <v>-967.95299999999997</v>
      </c>
      <c r="F14" s="68">
        <f>MayYTD!F14-AprYTD!F14</f>
        <v>0</v>
      </c>
      <c r="G14" s="68">
        <f>MayYTD!G14-AprYTD!G14</f>
        <v>0</v>
      </c>
      <c r="H14" s="68">
        <f>MayYTD!H14-AprYTD!H14</f>
        <v>0</v>
      </c>
      <c r="I14" s="68">
        <f>MayYTD!I14-AprYTD!I14</f>
        <v>0</v>
      </c>
      <c r="J14" s="68">
        <f>MayYTD!J14-AprYTD!J14</f>
        <v>0</v>
      </c>
      <c r="K14" s="68">
        <f>MayYTD!K14-AprYTD!K14</f>
        <v>0</v>
      </c>
      <c r="L14" s="68">
        <f>MayYTD!L14-AprYTD!L14</f>
        <v>0</v>
      </c>
      <c r="M14" s="68">
        <f>MayYTD!M14-AprYTD!M14</f>
        <v>0</v>
      </c>
      <c r="N14" s="68">
        <f t="shared" si="2"/>
        <v>0</v>
      </c>
      <c r="O14" s="68">
        <f>MayYTD!O14-AprYTD!O14</f>
        <v>0</v>
      </c>
      <c r="P14" s="68">
        <f>MayYTD!P14-AprYTD!P14</f>
        <v>0</v>
      </c>
      <c r="R14" s="68">
        <f>MayYTD!R14-AprYTD!R14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MayYTD!E15-AprYTD!E15</f>
        <v>0</v>
      </c>
      <c r="F15" s="68">
        <f>MayYTD!F15-AprYTD!F15</f>
        <v>0</v>
      </c>
      <c r="G15" s="68">
        <f>MayYTD!G15-AprYTD!G15</f>
        <v>0</v>
      </c>
      <c r="H15" s="68">
        <f>MayYTD!H15-AprYTD!H15</f>
        <v>0</v>
      </c>
      <c r="I15" s="68">
        <f>MayYTD!I15-AprYTD!I15</f>
        <v>0</v>
      </c>
      <c r="J15" s="68">
        <f>MayYTD!J15-AprYTD!J15</f>
        <v>0</v>
      </c>
      <c r="K15" s="68">
        <f>MayYTD!K15-AprYTD!K15</f>
        <v>0</v>
      </c>
      <c r="L15" s="68">
        <f>MayYTD!L15-AprYTD!L15</f>
        <v>0</v>
      </c>
      <c r="M15" s="68">
        <f>MayYTD!M15-AprYTD!M15</f>
        <v>0</v>
      </c>
      <c r="N15" s="68">
        <f t="shared" si="2"/>
        <v>0</v>
      </c>
      <c r="O15" s="68">
        <f>MayYTD!O15-AprYTD!O15</f>
        <v>0</v>
      </c>
      <c r="P15" s="68">
        <f>MayYTD!P15-AprYTD!P15</f>
        <v>0</v>
      </c>
      <c r="R15" s="68">
        <f>MayYTD!R15-AprYTD!R15</f>
        <v>0</v>
      </c>
    </row>
    <row r="16" spans="1:18" ht="12.75" customHeight="1" outlineLevel="4" x14ac:dyDescent="0.2">
      <c r="A16" s="67" t="s">
        <v>38</v>
      </c>
      <c r="B16" s="63">
        <f t="shared" si="3"/>
        <v>-3670.1309999999994</v>
      </c>
      <c r="C16" s="63"/>
      <c r="D16" s="68">
        <f t="shared" si="1"/>
        <v>-3452.4669999999992</v>
      </c>
      <c r="E16" s="68">
        <f>MayYTD!E16-AprYTD!E16</f>
        <v>-366.26400000000012</v>
      </c>
      <c r="F16" s="68">
        <f>MayYTD!F16-AprYTD!F16</f>
        <v>0</v>
      </c>
      <c r="G16" s="68">
        <f>MayYTD!G16-AprYTD!G16</f>
        <v>-2413.2019999999993</v>
      </c>
      <c r="H16" s="68">
        <f>MayYTD!H16-AprYTD!H16</f>
        <v>-673.00099999999975</v>
      </c>
      <c r="I16" s="68">
        <f>MayYTD!I16-AprYTD!I16</f>
        <v>0</v>
      </c>
      <c r="J16" s="68">
        <f>MayYTD!J16-AprYTD!J16</f>
        <v>0</v>
      </c>
      <c r="K16" s="68">
        <f>MayYTD!K16-AprYTD!K16</f>
        <v>0</v>
      </c>
      <c r="L16" s="68">
        <f>MayYTD!L16-AprYTD!L16</f>
        <v>0</v>
      </c>
      <c r="M16" s="68">
        <f>MayYTD!M16-AprYTD!M16</f>
        <v>0</v>
      </c>
      <c r="N16" s="68">
        <f t="shared" si="2"/>
        <v>0</v>
      </c>
      <c r="O16" s="68">
        <f>MayYTD!O16-AprYTD!O16</f>
        <v>0</v>
      </c>
      <c r="P16" s="68">
        <f>MayYTD!P16-AprYTD!P16</f>
        <v>0</v>
      </c>
      <c r="R16" s="68">
        <f>MayYTD!R16-AprYTD!R16</f>
        <v>-217.66399999999999</v>
      </c>
    </row>
    <row r="17" spans="1:18" ht="12.75" customHeight="1" outlineLevel="4" x14ac:dyDescent="0.2">
      <c r="A17" s="67" t="s">
        <v>39</v>
      </c>
      <c r="B17" s="63">
        <f t="shared" si="3"/>
        <v>2550</v>
      </c>
      <c r="C17" s="63"/>
      <c r="D17" s="68">
        <f t="shared" si="1"/>
        <v>816</v>
      </c>
      <c r="E17" s="68">
        <f>MayYTD!E17-AprYTD!E17</f>
        <v>0</v>
      </c>
      <c r="F17" s="68">
        <f>MayYTD!F17-AprYTD!F17</f>
        <v>0</v>
      </c>
      <c r="G17" s="68">
        <f>MayYTD!G17-AprYTD!G17</f>
        <v>0</v>
      </c>
      <c r="H17" s="68">
        <f>MayYTD!H17-AprYTD!H17</f>
        <v>816</v>
      </c>
      <c r="I17" s="68">
        <f>MayYTD!I17-AprYTD!I17</f>
        <v>0</v>
      </c>
      <c r="J17" s="68">
        <f>MayYTD!J17-AprYTD!J17</f>
        <v>0</v>
      </c>
      <c r="K17" s="68">
        <f>MayYTD!K17-AprYTD!K17</f>
        <v>0</v>
      </c>
      <c r="L17" s="68">
        <f>MayYTD!L17-AprYTD!L17</f>
        <v>0</v>
      </c>
      <c r="M17" s="68">
        <f>MayYTD!M17-AprYTD!M17</f>
        <v>0</v>
      </c>
      <c r="N17" s="68">
        <f t="shared" si="2"/>
        <v>0</v>
      </c>
      <c r="O17" s="68">
        <f>MayYTD!O17-AprYTD!O17</f>
        <v>0</v>
      </c>
      <c r="P17" s="68">
        <f>MayYTD!P17-AprYTD!P17</f>
        <v>0</v>
      </c>
      <c r="R17" s="68">
        <f>MayYTD!R17-AprYTD!R17</f>
        <v>1734</v>
      </c>
    </row>
    <row r="18" spans="1:18" ht="12.75" customHeight="1" outlineLevel="4" x14ac:dyDescent="0.2">
      <c r="A18" s="67" t="s">
        <v>32</v>
      </c>
      <c r="B18" s="69">
        <f t="shared" si="3"/>
        <v>-15731</v>
      </c>
      <c r="C18" s="63"/>
      <c r="D18" s="68">
        <f t="shared" si="1"/>
        <v>-15728</v>
      </c>
      <c r="E18" s="68">
        <f>MayYTD!E18-AprYTD!E18</f>
        <v>-16775</v>
      </c>
      <c r="F18" s="68">
        <f>MayYTD!F18-AprYTD!F18</f>
        <v>41</v>
      </c>
      <c r="G18" s="68">
        <f>MayYTD!G18-AprYTD!G18</f>
        <v>0</v>
      </c>
      <c r="H18" s="68">
        <f>MayYTD!H18-AprYTD!H18</f>
        <v>0</v>
      </c>
      <c r="I18" s="68">
        <f>MayYTD!I18-AprYTD!I18</f>
        <v>1</v>
      </c>
      <c r="J18" s="68">
        <f>MayYTD!J18-AprYTD!J18</f>
        <v>-143</v>
      </c>
      <c r="K18" s="68">
        <f>MayYTD!K18-AprYTD!K18</f>
        <v>0</v>
      </c>
      <c r="L18" s="68">
        <f>MayYTD!L18-AprYTD!L18</f>
        <v>-3171</v>
      </c>
      <c r="M18" s="68">
        <f>MayYTD!M18-AprYTD!M18</f>
        <v>0</v>
      </c>
      <c r="N18" s="68">
        <f t="shared" si="2"/>
        <v>-3171</v>
      </c>
      <c r="O18" s="68">
        <f>MayYTD!O18-AprYTD!O18</f>
        <v>4328</v>
      </c>
      <c r="P18" s="68">
        <f>MayYTD!P18-AprYTD!P18</f>
        <v>-9</v>
      </c>
      <c r="R18" s="68">
        <f>MayYTD!R18-AprYTD!R18</f>
        <v>-3</v>
      </c>
    </row>
    <row r="19" spans="1:18" ht="12.75" customHeight="1" outlineLevel="4" x14ac:dyDescent="0.2">
      <c r="A19" s="62" t="s">
        <v>31</v>
      </c>
      <c r="B19" s="73">
        <f>SUM(B10:B18)</f>
        <v>13753.722000000038</v>
      </c>
      <c r="C19" s="63"/>
      <c r="D19" s="73">
        <f t="shared" ref="D19:P19" si="4">SUM(D10:D18)</f>
        <v>12094.383000000038</v>
      </c>
      <c r="E19" s="73">
        <f t="shared" si="4"/>
        <v>-1625.098999999962</v>
      </c>
      <c r="F19" s="73">
        <f t="shared" si="4"/>
        <v>7134.6490000000031</v>
      </c>
      <c r="G19" s="73">
        <f t="shared" si="4"/>
        <v>0</v>
      </c>
      <c r="H19" s="73">
        <f t="shared" si="4"/>
        <v>818.42100000000039</v>
      </c>
      <c r="I19" s="73">
        <f t="shared" si="4"/>
        <v>-5.3829999999999982</v>
      </c>
      <c r="J19" s="73">
        <f t="shared" si="4"/>
        <v>46.349000000000586</v>
      </c>
      <c r="K19" s="73">
        <f t="shared" si="4"/>
        <v>2.5609999999998125</v>
      </c>
      <c r="L19" s="73">
        <f t="shared" si="4"/>
        <v>-3173.4180000000001</v>
      </c>
      <c r="M19" s="73">
        <f t="shared" si="4"/>
        <v>0</v>
      </c>
      <c r="N19" s="73">
        <f t="shared" si="4"/>
        <v>-3173.4180000000001</v>
      </c>
      <c r="O19" s="73">
        <f t="shared" si="4"/>
        <v>8950.8559999999979</v>
      </c>
      <c r="P19" s="73">
        <f t="shared" si="4"/>
        <v>-54.553000000000011</v>
      </c>
      <c r="R19" s="73">
        <f>SUM(R10:R18)</f>
        <v>1659.3389999999999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-11713</v>
      </c>
      <c r="C22" s="63"/>
      <c r="D22" s="68">
        <f t="shared" ref="D22:D30" si="6">SUM(E22:M22)+O22+P22</f>
        <v>-11499</v>
      </c>
      <c r="E22" s="68">
        <f>MayYTD!E22-AprYTD!E22</f>
        <v>-190</v>
      </c>
      <c r="F22" s="68">
        <f>MayYTD!F22-AprYTD!F22</f>
        <v>-682</v>
      </c>
      <c r="G22" s="68">
        <f>MayYTD!G22-AprYTD!G22</f>
        <v>0</v>
      </c>
      <c r="H22" s="68">
        <f>MayYTD!H22-AprYTD!H22</f>
        <v>-32</v>
      </c>
      <c r="I22" s="68">
        <f>MayYTD!I22-AprYTD!I22</f>
        <v>2</v>
      </c>
      <c r="J22" s="68">
        <f>MayYTD!J22-AprYTD!J22</f>
        <v>-124</v>
      </c>
      <c r="K22" s="68">
        <f>MayYTD!K22-AprYTD!K22</f>
        <v>10</v>
      </c>
      <c r="L22" s="68">
        <f>MayYTD!L22-AprYTD!L22</f>
        <v>0</v>
      </c>
      <c r="M22" s="68">
        <f>MayYTD!M22-AprYTD!M22</f>
        <v>0</v>
      </c>
      <c r="N22" s="68">
        <f t="shared" ref="N22:N30" si="7">M22+L22</f>
        <v>0</v>
      </c>
      <c r="O22" s="68">
        <f>MayYTD!O22-AprYTD!O22</f>
        <v>-10484</v>
      </c>
      <c r="P22" s="68">
        <f>MayYTD!P22-AprYTD!P22</f>
        <v>1</v>
      </c>
      <c r="R22" s="68">
        <f>MayYTD!R22-AprYTD!R22</f>
        <v>-214</v>
      </c>
    </row>
    <row r="23" spans="1:18" ht="12.75" customHeight="1" outlineLevel="4" x14ac:dyDescent="0.2">
      <c r="A23" s="67" t="s">
        <v>20</v>
      </c>
      <c r="B23" s="63">
        <f t="shared" si="5"/>
        <v>-6750</v>
      </c>
      <c r="C23" s="63"/>
      <c r="D23" s="68">
        <f t="shared" si="6"/>
        <v>-6750</v>
      </c>
      <c r="E23" s="68">
        <f>MayYTD!E23-AprYTD!E23</f>
        <v>2693</v>
      </c>
      <c r="F23" s="68">
        <f>MayYTD!F23-AprYTD!F23</f>
        <v>1274</v>
      </c>
      <c r="G23" s="68">
        <f>MayYTD!G23-AprYTD!G23</f>
        <v>0</v>
      </c>
      <c r="H23" s="68">
        <f>MayYTD!H23-AprYTD!H23</f>
        <v>0</v>
      </c>
      <c r="I23" s="68">
        <f>MayYTD!I23-AprYTD!I23</f>
        <v>8</v>
      </c>
      <c r="J23" s="68">
        <f>MayYTD!J23-AprYTD!J23</f>
        <v>-1449</v>
      </c>
      <c r="K23" s="68">
        <f>MayYTD!K23-AprYTD!K23</f>
        <v>-73</v>
      </c>
      <c r="L23" s="68">
        <f>MayYTD!L23-AprYTD!L23</f>
        <v>3182</v>
      </c>
      <c r="M23" s="68">
        <f>MayYTD!M23-AprYTD!M23</f>
        <v>0</v>
      </c>
      <c r="N23" s="68">
        <f t="shared" si="7"/>
        <v>3182</v>
      </c>
      <c r="O23" s="68">
        <f>MayYTD!O23-AprYTD!O23</f>
        <v>-12512</v>
      </c>
      <c r="P23" s="68">
        <f>MayYTD!P23-AprYTD!P23</f>
        <v>127</v>
      </c>
      <c r="R23" s="68">
        <f>MayYTD!R23-AprYTD!R23</f>
        <v>0</v>
      </c>
    </row>
    <row r="24" spans="1:18" ht="12.75" customHeight="1" outlineLevel="4" x14ac:dyDescent="0.2">
      <c r="A24" s="67" t="s">
        <v>9</v>
      </c>
      <c r="B24" s="63">
        <f t="shared" si="5"/>
        <v>39</v>
      </c>
      <c r="C24" s="63"/>
      <c r="D24" s="68">
        <f t="shared" si="6"/>
        <v>39</v>
      </c>
      <c r="E24" s="68">
        <f>MayYTD!E24-AprYTD!E24</f>
        <v>26</v>
      </c>
      <c r="F24" s="68">
        <f>MayYTD!F24-AprYTD!F24</f>
        <v>13</v>
      </c>
      <c r="G24" s="68">
        <f>MayYTD!G24-AprYTD!G24</f>
        <v>0</v>
      </c>
      <c r="H24" s="68">
        <f>MayYTD!H24-AprYTD!H24</f>
        <v>0</v>
      </c>
      <c r="I24" s="68">
        <f>MayYTD!I24-AprYTD!I24</f>
        <v>0</v>
      </c>
      <c r="J24" s="68">
        <f>MayYTD!J24-AprYTD!J24</f>
        <v>0</v>
      </c>
      <c r="K24" s="68">
        <f>MayYTD!K24-AprYTD!K24</f>
        <v>0</v>
      </c>
      <c r="L24" s="68">
        <f>MayYTD!L24-AprYTD!L24</f>
        <v>0</v>
      </c>
      <c r="M24" s="68">
        <f>MayYTD!M24-AprYTD!M24</f>
        <v>0</v>
      </c>
      <c r="N24" s="68">
        <f t="shared" si="7"/>
        <v>0</v>
      </c>
      <c r="O24" s="68">
        <f>MayYTD!O24-AprYTD!O24</f>
        <v>0</v>
      </c>
      <c r="P24" s="68">
        <f>MayYTD!P24-AprYTD!P24</f>
        <v>0</v>
      </c>
      <c r="R24" s="68">
        <f>MayYTD!R24-AprYTD!R24</f>
        <v>0</v>
      </c>
    </row>
    <row r="25" spans="1:18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MayYTD!E25-AprYTD!E25</f>
        <v>0</v>
      </c>
      <c r="F25" s="68">
        <f>MayYTD!F25-AprYTD!F25</f>
        <v>1</v>
      </c>
      <c r="G25" s="68">
        <f>MayYTD!G25-AprYTD!G25</f>
        <v>0</v>
      </c>
      <c r="H25" s="68">
        <f>MayYTD!H25-AprYTD!H25</f>
        <v>0</v>
      </c>
      <c r="I25" s="68">
        <f>MayYTD!I25-AprYTD!I25</f>
        <v>0</v>
      </c>
      <c r="J25" s="68">
        <f>MayYTD!J25-AprYTD!J25</f>
        <v>0</v>
      </c>
      <c r="K25" s="68">
        <f>MayYTD!K25-AprYTD!K25</f>
        <v>0</v>
      </c>
      <c r="L25" s="68">
        <f>MayYTD!L25-AprYTD!L25</f>
        <v>0</v>
      </c>
      <c r="M25" s="68">
        <f>MayYTD!M25-AprYTD!M25</f>
        <v>0</v>
      </c>
      <c r="N25" s="68">
        <f t="shared" si="7"/>
        <v>0</v>
      </c>
      <c r="O25" s="68">
        <f>MayYTD!O25-AprYTD!O25</f>
        <v>0</v>
      </c>
      <c r="P25" s="68">
        <f>MayYTD!P25-AprYTD!P25</f>
        <v>0</v>
      </c>
      <c r="R25" s="68">
        <f>MayYTD!R25-AprYTD!R25</f>
        <v>0</v>
      </c>
    </row>
    <row r="26" spans="1:18" ht="12.75" customHeight="1" outlineLevel="4" x14ac:dyDescent="0.2">
      <c r="A26" s="67" t="s">
        <v>11</v>
      </c>
      <c r="B26" s="63">
        <f t="shared" si="5"/>
        <v>5517</v>
      </c>
      <c r="C26" s="63"/>
      <c r="D26" s="68">
        <f t="shared" si="6"/>
        <v>5516</v>
      </c>
      <c r="E26" s="68">
        <f>MayYTD!E26-AprYTD!E26</f>
        <v>3501</v>
      </c>
      <c r="F26" s="68">
        <f>MayYTD!F26-AprYTD!F26</f>
        <v>-2633</v>
      </c>
      <c r="G26" s="68">
        <f>MayYTD!G26-AprYTD!G26</f>
        <v>0</v>
      </c>
      <c r="H26" s="68">
        <f>MayYTD!H26-AprYTD!H26</f>
        <v>214</v>
      </c>
      <c r="I26" s="68">
        <f>MayYTD!I26-AprYTD!I26</f>
        <v>0</v>
      </c>
      <c r="J26" s="68">
        <f>MayYTD!J26-AprYTD!J26</f>
        <v>47</v>
      </c>
      <c r="K26" s="68">
        <f>MayYTD!K26-AprYTD!K26</f>
        <v>0</v>
      </c>
      <c r="L26" s="68">
        <f>MayYTD!L26-AprYTD!L26</f>
        <v>0</v>
      </c>
      <c r="M26" s="68">
        <f>MayYTD!M26-AprYTD!M26</f>
        <v>0</v>
      </c>
      <c r="N26" s="68">
        <f t="shared" si="7"/>
        <v>0</v>
      </c>
      <c r="O26" s="68">
        <f>MayYTD!O26-AprYTD!O26</f>
        <v>4405</v>
      </c>
      <c r="P26" s="68">
        <f>MayYTD!P26-AprYTD!P26</f>
        <v>-18</v>
      </c>
      <c r="R26" s="68">
        <f>MayYTD!R26-AprYTD!R26</f>
        <v>1</v>
      </c>
    </row>
    <row r="27" spans="1:18" ht="12.75" customHeight="1" outlineLevel="4" x14ac:dyDescent="0.2">
      <c r="A27" s="62" t="s">
        <v>12</v>
      </c>
      <c r="B27" s="63">
        <f t="shared" si="5"/>
        <v>3297</v>
      </c>
      <c r="C27" s="63"/>
      <c r="D27" s="68">
        <f t="shared" si="6"/>
        <v>3300</v>
      </c>
      <c r="E27" s="68">
        <f>MayYTD!E27-AprYTD!E27</f>
        <v>3224</v>
      </c>
      <c r="F27" s="68">
        <f>MayYTD!F27-AprYTD!F27</f>
        <v>77</v>
      </c>
      <c r="G27" s="68">
        <f>MayYTD!G27-AprYTD!G27</f>
        <v>0</v>
      </c>
      <c r="H27" s="68">
        <f>MayYTD!H27-AprYTD!H27</f>
        <v>-1</v>
      </c>
      <c r="I27" s="68">
        <f>MayYTD!I27-AprYTD!I27</f>
        <v>0</v>
      </c>
      <c r="J27" s="68">
        <f>MayYTD!J27-AprYTD!J27</f>
        <v>0</v>
      </c>
      <c r="K27" s="68">
        <f>MayYTD!K27-AprYTD!K27</f>
        <v>0</v>
      </c>
      <c r="L27" s="68">
        <f>MayYTD!L27-AprYTD!L27</f>
        <v>0</v>
      </c>
      <c r="M27" s="68">
        <f>MayYTD!M27-AprYTD!M27</f>
        <v>0</v>
      </c>
      <c r="N27" s="68">
        <f t="shared" si="7"/>
        <v>0</v>
      </c>
      <c r="O27" s="68">
        <f>MayYTD!O27-AprYTD!O27</f>
        <v>0</v>
      </c>
      <c r="P27" s="68">
        <f>MayYTD!P27-AprYTD!P27</f>
        <v>0</v>
      </c>
      <c r="R27" s="68">
        <f>MayYTD!R27-AprYTD!R27</f>
        <v>-3</v>
      </c>
    </row>
    <row r="28" spans="1:18" ht="12.75" customHeight="1" outlineLevel="4" x14ac:dyDescent="0.2">
      <c r="A28" s="67" t="s">
        <v>13</v>
      </c>
      <c r="B28" s="63">
        <f t="shared" si="5"/>
        <v>-703</v>
      </c>
      <c r="C28" s="63"/>
      <c r="D28" s="68">
        <f t="shared" si="6"/>
        <v>-757</v>
      </c>
      <c r="E28" s="68">
        <f>MayYTD!E28-AprYTD!E28</f>
        <v>-3440</v>
      </c>
      <c r="F28" s="68">
        <f>MayYTD!F28-AprYTD!F28</f>
        <v>-44</v>
      </c>
      <c r="G28" s="68">
        <f>MayYTD!G28-AprYTD!G28</f>
        <v>0</v>
      </c>
      <c r="H28" s="68">
        <f>MayYTD!H28-AprYTD!H28</f>
        <v>0</v>
      </c>
      <c r="I28" s="68">
        <f>MayYTD!I28-AprYTD!I28</f>
        <v>0</v>
      </c>
      <c r="J28" s="68">
        <f>MayYTD!J28-AprYTD!J28</f>
        <v>0</v>
      </c>
      <c r="K28" s="68">
        <f>MayYTD!K28-AprYTD!K28</f>
        <v>0</v>
      </c>
      <c r="L28" s="68">
        <f>MayYTD!L28-AprYTD!L28</f>
        <v>0</v>
      </c>
      <c r="M28" s="68">
        <f>MayYTD!M28-AprYTD!M28</f>
        <v>2735</v>
      </c>
      <c r="N28" s="68">
        <f t="shared" si="7"/>
        <v>2735</v>
      </c>
      <c r="O28" s="68">
        <f>MayYTD!O28-AprYTD!O28</f>
        <v>-8</v>
      </c>
      <c r="P28" s="68">
        <f>MayYTD!P28-AprYTD!P28</f>
        <v>0</v>
      </c>
      <c r="R28" s="68">
        <f>+MayYTD!R28-AprYTD!R28</f>
        <v>54</v>
      </c>
    </row>
    <row r="29" spans="1:18" ht="12.75" customHeight="1" outlineLevel="4" x14ac:dyDescent="0.2">
      <c r="A29" s="67" t="s">
        <v>14</v>
      </c>
      <c r="B29" s="63">
        <f t="shared" si="5"/>
        <v>-1424</v>
      </c>
      <c r="C29" s="63"/>
      <c r="D29" s="68">
        <f t="shared" si="6"/>
        <v>-1424</v>
      </c>
      <c r="E29" s="68">
        <f>MayYTD!E29-AprYTD!E29</f>
        <v>-563</v>
      </c>
      <c r="F29" s="68">
        <f>MayYTD!F29-AprYTD!F29</f>
        <v>-861</v>
      </c>
      <c r="G29" s="68">
        <f>MayYTD!G29-AprYTD!G29</f>
        <v>0</v>
      </c>
      <c r="H29" s="68">
        <f>MayYTD!H29-AprYTD!H29</f>
        <v>0</v>
      </c>
      <c r="I29" s="68">
        <f>MayYTD!I29-AprYTD!I29</f>
        <v>0</v>
      </c>
      <c r="J29" s="68">
        <f>MayYTD!J29-AprYTD!J29</f>
        <v>0</v>
      </c>
      <c r="K29" s="68">
        <f>MayYTD!K29-AprYTD!K29</f>
        <v>0</v>
      </c>
      <c r="L29" s="68">
        <f>MayYTD!L29-AprYTD!L29</f>
        <v>0</v>
      </c>
      <c r="M29" s="68">
        <f>MayYTD!M29-AprYTD!M29</f>
        <v>0</v>
      </c>
      <c r="N29" s="68">
        <f t="shared" si="7"/>
        <v>0</v>
      </c>
      <c r="O29" s="68">
        <f>MayYTD!O29-AprYTD!O29</f>
        <v>0</v>
      </c>
      <c r="P29" s="68">
        <f>MayYTD!P29-AprYTD!P29</f>
        <v>0</v>
      </c>
      <c r="R29" s="68">
        <f>+MayYTD!R29-AprYTD!R29</f>
        <v>0</v>
      </c>
    </row>
    <row r="30" spans="1:18" ht="12.75" customHeight="1" outlineLevel="4" x14ac:dyDescent="0.2">
      <c r="A30" s="67" t="s">
        <v>30</v>
      </c>
      <c r="B30" s="69">
        <f t="shared" si="5"/>
        <v>-3234</v>
      </c>
      <c r="C30" s="63"/>
      <c r="D30" s="68">
        <f t="shared" si="6"/>
        <v>-3234</v>
      </c>
      <c r="E30" s="68">
        <f>MayYTD!E30-AprYTD!E30</f>
        <v>-3941</v>
      </c>
      <c r="F30" s="68">
        <f>MayYTD!F30-AprYTD!F30</f>
        <v>209</v>
      </c>
      <c r="G30" s="68">
        <f>MayYTD!G30-AprYTD!G30</f>
        <v>0</v>
      </c>
      <c r="H30" s="68">
        <f>MayYTD!H30-AprYTD!H30</f>
        <v>614</v>
      </c>
      <c r="I30" s="68">
        <f>MayYTD!I30-AprYTD!I30</f>
        <v>0</v>
      </c>
      <c r="J30" s="68">
        <f>MayYTD!J30-AprYTD!J30</f>
        <v>0</v>
      </c>
      <c r="K30" s="68">
        <f>MayYTD!K30-AprYTD!K30</f>
        <v>1</v>
      </c>
      <c r="L30" s="68">
        <f>MayYTD!L30-AprYTD!L30</f>
        <v>0</v>
      </c>
      <c r="M30" s="68">
        <f>MayYTD!M30-AprYTD!M30</f>
        <v>0</v>
      </c>
      <c r="N30" s="68">
        <f t="shared" si="7"/>
        <v>0</v>
      </c>
      <c r="O30" s="68">
        <f>MayYTD!O30-AprYTD!O30</f>
        <v>-117</v>
      </c>
      <c r="P30" s="68">
        <f>MayYTD!P30-AprYTD!P30</f>
        <v>0</v>
      </c>
      <c r="R30" s="68">
        <f>MayYTD!R30-AprYTD!R30</f>
        <v>0</v>
      </c>
    </row>
    <row r="31" spans="1:18" ht="12.75" customHeight="1" outlineLevel="4" x14ac:dyDescent="0.2">
      <c r="A31" s="67" t="s">
        <v>33</v>
      </c>
      <c r="B31" s="84">
        <f>SUM(B21:B30)</f>
        <v>-14970</v>
      </c>
      <c r="C31" s="74"/>
      <c r="D31" s="84">
        <f t="shared" ref="D31:P31" si="8">SUM(D21:D30)</f>
        <v>-14808</v>
      </c>
      <c r="E31" s="84">
        <f t="shared" si="8"/>
        <v>1310</v>
      </c>
      <c r="F31" s="84">
        <f t="shared" si="8"/>
        <v>-2646</v>
      </c>
      <c r="G31" s="84">
        <f t="shared" si="8"/>
        <v>0</v>
      </c>
      <c r="H31" s="84">
        <f t="shared" si="8"/>
        <v>795</v>
      </c>
      <c r="I31" s="84">
        <f t="shared" si="8"/>
        <v>10</v>
      </c>
      <c r="J31" s="84">
        <f t="shared" si="8"/>
        <v>-1526</v>
      </c>
      <c r="K31" s="84">
        <f t="shared" si="8"/>
        <v>-62</v>
      </c>
      <c r="L31" s="84">
        <f t="shared" si="8"/>
        <v>3182</v>
      </c>
      <c r="M31" s="84">
        <f t="shared" si="8"/>
        <v>2735</v>
      </c>
      <c r="N31" s="84">
        <f t="shared" si="8"/>
        <v>5917</v>
      </c>
      <c r="O31" s="84">
        <f t="shared" si="8"/>
        <v>-18716</v>
      </c>
      <c r="P31" s="84">
        <f t="shared" si="8"/>
        <v>110</v>
      </c>
      <c r="R31" s="84">
        <f>SUM(R21:R30)</f>
        <v>-162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-1216.277999999962</v>
      </c>
      <c r="C33" s="63"/>
      <c r="D33" s="75">
        <f>D19+D31</f>
        <v>-2713.616999999962</v>
      </c>
      <c r="E33" s="75">
        <f>E19+E31</f>
        <v>-315.09899999996196</v>
      </c>
      <c r="F33" s="75">
        <f t="shared" ref="F33:M33" si="9">F19+F31</f>
        <v>4488.6490000000031</v>
      </c>
      <c r="G33" s="75">
        <f t="shared" si="9"/>
        <v>0</v>
      </c>
      <c r="H33" s="75">
        <f t="shared" si="9"/>
        <v>1613.4210000000003</v>
      </c>
      <c r="I33" s="75">
        <f t="shared" si="9"/>
        <v>4.6170000000000018</v>
      </c>
      <c r="J33" s="75">
        <f t="shared" si="9"/>
        <v>-1479.6509999999994</v>
      </c>
      <c r="K33" s="75">
        <f t="shared" si="9"/>
        <v>-59.439000000000185</v>
      </c>
      <c r="L33" s="75">
        <f t="shared" si="9"/>
        <v>8.5819999999998799</v>
      </c>
      <c r="M33" s="75">
        <f t="shared" si="9"/>
        <v>2735</v>
      </c>
      <c r="N33" s="75">
        <f>N19+N31</f>
        <v>2743.5819999999999</v>
      </c>
      <c r="O33" s="75">
        <f>O19+O31</f>
        <v>-9765.1440000000021</v>
      </c>
      <c r="P33" s="75">
        <f>P19+P31</f>
        <v>55.446999999999989</v>
      </c>
      <c r="R33" s="75">
        <f>R19+R31</f>
        <v>1497.3389999999999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-1829</v>
      </c>
      <c r="C36" s="63"/>
      <c r="D36" s="68">
        <f>SUM(E36:M36)+O36+P36</f>
        <v>-1829</v>
      </c>
      <c r="E36" s="68">
        <f>MayYTD!E36-AprYTD!E36</f>
        <v>-1829</v>
      </c>
      <c r="F36" s="68">
        <f>MayYTD!F36-AprYTD!F36</f>
        <v>0</v>
      </c>
      <c r="G36" s="68">
        <f>MayYTD!G36-AprYTD!G36</f>
        <v>0</v>
      </c>
      <c r="H36" s="68">
        <f>MayYTD!H36-AprYTD!H36</f>
        <v>0</v>
      </c>
      <c r="I36" s="68">
        <f>MayYTD!I36-AprYTD!I36</f>
        <v>0</v>
      </c>
      <c r="J36" s="68">
        <f>MayYTD!J36-AprYTD!J36</f>
        <v>0</v>
      </c>
      <c r="K36" s="68">
        <f>MayYTD!K36-AprYTD!K36</f>
        <v>0</v>
      </c>
      <c r="L36" s="68">
        <f>MayYTD!L36-AprYTD!L36</f>
        <v>0</v>
      </c>
      <c r="M36" s="68">
        <f>MayYTD!M36-AprYTD!M36</f>
        <v>0</v>
      </c>
      <c r="N36" s="76"/>
      <c r="O36" s="68">
        <f>MayYTD!O36-AprYTD!O36</f>
        <v>0</v>
      </c>
      <c r="P36" s="68">
        <f>MayYTD!P36-AprYTD!P36</f>
        <v>0</v>
      </c>
    </row>
    <row r="37" spans="1:18" ht="12.75" customHeight="1" outlineLevel="4" x14ac:dyDescent="0.2">
      <c r="A37" s="62" t="s">
        <v>17</v>
      </c>
      <c r="B37" s="63">
        <f t="shared" si="10"/>
        <v>-6867</v>
      </c>
      <c r="C37" s="63"/>
      <c r="D37" s="68">
        <f>SUM(E37:M37)+O37+P37</f>
        <v>-6867</v>
      </c>
      <c r="E37" s="68">
        <f>MayYTD!E37-AprYTD!E37</f>
        <v>-4188</v>
      </c>
      <c r="F37" s="68">
        <f>MayYTD!F37-AprYTD!F37</f>
        <v>-2679</v>
      </c>
      <c r="G37" s="68">
        <f>MayYTD!G37-AprYTD!G37</f>
        <v>0</v>
      </c>
      <c r="H37" s="68">
        <f>MayYTD!H37-AprYTD!H37</f>
        <v>0</v>
      </c>
      <c r="I37" s="68">
        <f>MayYTD!I37-AprYTD!I37</f>
        <v>0</v>
      </c>
      <c r="J37" s="68">
        <f>MayYTD!J37-AprYTD!J37</f>
        <v>0</v>
      </c>
      <c r="K37" s="68">
        <f>MayYTD!K37-AprYTD!K37</f>
        <v>0</v>
      </c>
      <c r="L37" s="68">
        <f>MayYTD!L37-AprYTD!L37</f>
        <v>0</v>
      </c>
      <c r="M37" s="68">
        <f>MayYTD!M37-AprYTD!M37</f>
        <v>0</v>
      </c>
      <c r="N37" s="68">
        <f>M37+L37</f>
        <v>0</v>
      </c>
      <c r="O37" s="68">
        <f>MayYTD!O37-AprYTD!O37</f>
        <v>0</v>
      </c>
      <c r="P37" s="68">
        <f>MayYTD!P37-AprYTD!P37</f>
        <v>0</v>
      </c>
    </row>
    <row r="38" spans="1:18" ht="12.75" customHeight="1" outlineLevel="4" x14ac:dyDescent="0.2">
      <c r="A38" s="62" t="s">
        <v>104</v>
      </c>
      <c r="B38" s="63">
        <f t="shared" si="10"/>
        <v>9249</v>
      </c>
      <c r="C38" s="63"/>
      <c r="D38" s="68">
        <f>SUM(E38:M38)+O38+P38</f>
        <v>9249</v>
      </c>
      <c r="E38" s="68">
        <f>MayYTD!E38-AprYTD!E38</f>
        <v>9410</v>
      </c>
      <c r="F38" s="68">
        <f>MayYTD!F38-AprYTD!F38</f>
        <v>-161</v>
      </c>
      <c r="G38" s="68">
        <f>MayYTD!G38-AprYTD!G38</f>
        <v>0</v>
      </c>
      <c r="H38" s="68">
        <f>MayYTD!H38-AprYTD!H38</f>
        <v>0</v>
      </c>
      <c r="I38" s="68">
        <f>MayYTD!I38-AprYTD!I38</f>
        <v>0</v>
      </c>
      <c r="J38" s="68">
        <f>MayYTD!J38-AprYTD!J38</f>
        <v>0</v>
      </c>
      <c r="K38" s="68">
        <f>MayYTD!K38-AprYTD!K38</f>
        <v>0</v>
      </c>
      <c r="L38" s="68">
        <f>MayYTD!L38-AprYTD!L38</f>
        <v>0</v>
      </c>
      <c r="M38" s="68">
        <f>MayYTD!M38-AprYTD!M38</f>
        <v>0</v>
      </c>
      <c r="N38" s="68">
        <f>M38+L38</f>
        <v>0</v>
      </c>
      <c r="O38" s="68">
        <f>MayYTD!O38-AprYTD!O38</f>
        <v>0</v>
      </c>
      <c r="P38" s="68">
        <f>MayYTD!P38-AprYTD!P38</f>
        <v>0</v>
      </c>
    </row>
    <row r="39" spans="1:18" ht="12.75" customHeight="1" outlineLevel="4" x14ac:dyDescent="0.2">
      <c r="A39" s="62" t="s">
        <v>113</v>
      </c>
      <c r="B39" s="63">
        <f t="shared" si="10"/>
        <v>-23000</v>
      </c>
      <c r="C39" s="63"/>
      <c r="D39" s="68">
        <f>SUM(E39:P39)</f>
        <v>0</v>
      </c>
      <c r="E39" s="68">
        <f>MayYTD!E39-AprYTD!E39</f>
        <v>0</v>
      </c>
      <c r="F39" s="68">
        <f>MayYTD!F39-AprYTD!F39</f>
        <v>0</v>
      </c>
      <c r="G39" s="68">
        <f>MayYTD!G39-AprYTD!G39</f>
        <v>0</v>
      </c>
      <c r="H39" s="68">
        <f>MayYTD!H39-AprYTD!H39</f>
        <v>0</v>
      </c>
      <c r="I39" s="68">
        <f>MayYTD!I39-AprYTD!I39</f>
        <v>0</v>
      </c>
      <c r="J39" s="68">
        <f>MayYTD!J39-AprYTD!J39</f>
        <v>0</v>
      </c>
      <c r="K39" s="68">
        <f>MayYTD!K39-AprYTD!K39</f>
        <v>0</v>
      </c>
      <c r="L39" s="68">
        <f>MayYTD!L39-AprYTD!L39</f>
        <v>0</v>
      </c>
      <c r="M39" s="68">
        <f>MayYTD!M39-AprYTD!M39</f>
        <v>0</v>
      </c>
      <c r="N39" s="68">
        <f>M39+L39</f>
        <v>0</v>
      </c>
      <c r="O39" s="68">
        <f>MayYTD!O39-AprYTD!O39</f>
        <v>0</v>
      </c>
      <c r="P39" s="68">
        <f>MayYTD!P39-AprYTD!P39</f>
        <v>0</v>
      </c>
      <c r="R39" s="68">
        <f>MayYTD!R39-AprYTD!R39</f>
        <v>-23000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MayYTD!E40-AprYTD!E40</f>
        <v>0</v>
      </c>
      <c r="F40" s="68">
        <f>MayYTD!F40-AprYTD!F40</f>
        <v>0</v>
      </c>
      <c r="G40" s="68">
        <f>MayYTD!G40-AprYTD!G40</f>
        <v>0</v>
      </c>
      <c r="H40" s="68">
        <f>MayYTD!H40-AprYTD!H40</f>
        <v>0</v>
      </c>
      <c r="I40" s="68">
        <f>MayYTD!I40-AprYTD!I40</f>
        <v>0</v>
      </c>
      <c r="J40" s="68">
        <f>MayYTD!J40-AprYTD!J40</f>
        <v>0</v>
      </c>
      <c r="K40" s="68">
        <f>MayYTD!K40-AprYTD!K40</f>
        <v>0</v>
      </c>
      <c r="L40" s="68">
        <f>MayYTD!L40-AprYTD!L40</f>
        <v>0</v>
      </c>
      <c r="M40" s="68">
        <f>MayYTD!M40-AprYTD!M40</f>
        <v>0</v>
      </c>
      <c r="N40" s="68">
        <f>M40+L40</f>
        <v>0</v>
      </c>
      <c r="O40" s="68">
        <f>MayYTD!O40-AprYTD!O40</f>
        <v>0</v>
      </c>
      <c r="P40" s="68">
        <f>MayYTD!P40-AprYTD!P40</f>
        <v>0</v>
      </c>
      <c r="R40" s="68">
        <f>MayYTD!R40-AprYTD!R40</f>
        <v>0</v>
      </c>
    </row>
    <row r="41" spans="1:18" ht="12.75" customHeight="1" outlineLevel="4" x14ac:dyDescent="0.2">
      <c r="A41" s="67" t="s">
        <v>41</v>
      </c>
      <c r="B41" s="69">
        <f t="shared" si="10"/>
        <v>1836</v>
      </c>
      <c r="C41" s="63"/>
      <c r="D41" s="70">
        <f>SUM(E41:M41)+O41+P41</f>
        <v>1836</v>
      </c>
      <c r="E41" s="70">
        <f>MayYTD!E41-AprYTD!E41</f>
        <v>1836</v>
      </c>
      <c r="F41" s="70">
        <f>MayYTD!F41-AprYTD!F41</f>
        <v>0</v>
      </c>
      <c r="G41" s="70">
        <f>MayYTD!G41-AprYTD!G41</f>
        <v>0</v>
      </c>
      <c r="H41" s="70">
        <f>MayYTD!H41-AprYTD!H41</f>
        <v>0</v>
      </c>
      <c r="I41" s="70">
        <f>MayYTD!I41-AprYTD!I41</f>
        <v>0</v>
      </c>
      <c r="J41" s="70">
        <f>MayYTD!J41-AprYTD!J41</f>
        <v>0</v>
      </c>
      <c r="K41" s="70">
        <f>MayYTD!K41-AprYTD!K41</f>
        <v>0</v>
      </c>
      <c r="L41" s="70">
        <f>MayYTD!L41-AprYTD!L41</f>
        <v>0</v>
      </c>
      <c r="M41" s="70">
        <f>MayYTD!M41-AprYTD!M41</f>
        <v>0</v>
      </c>
      <c r="N41" s="70">
        <f>M41+L41</f>
        <v>0</v>
      </c>
      <c r="O41" s="70">
        <f>MayYTD!O41-AprYTD!O41</f>
        <v>0</v>
      </c>
      <c r="P41" s="70">
        <f>MayYTD!P41-AprYTD!P41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-20611</v>
      </c>
      <c r="C42" s="77">
        <f t="shared" si="11"/>
        <v>0</v>
      </c>
      <c r="D42" s="75">
        <f t="shared" si="11"/>
        <v>2389</v>
      </c>
      <c r="E42" s="75">
        <f t="shared" si="11"/>
        <v>5229</v>
      </c>
      <c r="F42" s="75">
        <f t="shared" si="11"/>
        <v>-2840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-23000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MayYTD!E45-AprYTD!E45</f>
        <v>0</v>
      </c>
      <c r="F45" s="68">
        <f>MayYTD!F45-AprYTD!F45</f>
        <v>0</v>
      </c>
      <c r="G45" s="68">
        <f>MayYTD!G45-AprYTD!G45</f>
        <v>0</v>
      </c>
      <c r="H45" s="68">
        <f>MayYTD!H45-AprYTD!H45</f>
        <v>0</v>
      </c>
      <c r="I45" s="68">
        <f>MayYTD!I45-AprYTD!I45</f>
        <v>0</v>
      </c>
      <c r="J45" s="68">
        <f>MayYTD!J45-AprYTD!J45</f>
        <v>0</v>
      </c>
      <c r="K45" s="68">
        <f>MayYTD!K45-AprYTD!K45</f>
        <v>0</v>
      </c>
      <c r="L45" s="68">
        <f>MayYTD!L45-AprYTD!L45</f>
        <v>0</v>
      </c>
      <c r="M45" s="68">
        <f>MayYTD!M45-AprYTD!M45</f>
        <v>0</v>
      </c>
      <c r="N45" s="68"/>
      <c r="O45" s="68">
        <f>MayYTD!O45-AprYTD!O45</f>
        <v>0</v>
      </c>
      <c r="P45" s="68">
        <f>MayYTD!P45-AprYTD!P45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MayYTD!E46-AprYTD!E46</f>
        <v>0</v>
      </c>
      <c r="F46" s="68">
        <f>MayYTD!F46-AprYTD!F46</f>
        <v>0</v>
      </c>
      <c r="G46" s="68">
        <f>MayYTD!G46-AprYTD!G46</f>
        <v>0</v>
      </c>
      <c r="H46" s="68">
        <f>MayYTD!H46-AprYTD!H46</f>
        <v>0</v>
      </c>
      <c r="I46" s="68">
        <f>MayYTD!I46-AprYTD!I46</f>
        <v>0</v>
      </c>
      <c r="J46" s="68">
        <f>MayYTD!J46-AprYTD!J46</f>
        <v>0</v>
      </c>
      <c r="K46" s="68">
        <f>MayYTD!K46-AprYTD!K46</f>
        <v>0</v>
      </c>
      <c r="L46" s="68">
        <f>MayYTD!L46-AprYTD!L46</f>
        <v>0</v>
      </c>
      <c r="M46" s="68">
        <f>MayYTD!M46-AprYTD!M46</f>
        <v>0</v>
      </c>
      <c r="N46" s="68"/>
      <c r="O46" s="68">
        <f>MayYTD!O46-AprYTD!O46</f>
        <v>0</v>
      </c>
      <c r="P46" s="68">
        <f>MayYTD!P46-AprYTD!P46</f>
        <v>0</v>
      </c>
    </row>
    <row r="47" spans="1:18" ht="12.75" customHeight="1" outlineLevel="4" x14ac:dyDescent="0.2">
      <c r="A47" s="67" t="s">
        <v>46</v>
      </c>
      <c r="B47" s="63">
        <f>D47+R47</f>
        <v>-23000</v>
      </c>
      <c r="C47" s="63"/>
      <c r="D47" s="68">
        <f>SUM(E47:P47)</f>
        <v>-23000</v>
      </c>
      <c r="E47" s="68">
        <f>MayYTD!E47-AprYTD!E47</f>
        <v>0</v>
      </c>
      <c r="F47" s="68">
        <f>MayYTD!F47-AprYTD!F47</f>
        <v>-23000</v>
      </c>
      <c r="G47" s="68">
        <f>MayYTD!G47-AprYTD!G47</f>
        <v>0</v>
      </c>
      <c r="H47" s="68">
        <f>MayYTD!H47-AprYTD!H47</f>
        <v>0</v>
      </c>
      <c r="I47" s="68">
        <f>MayYTD!I47-AprYTD!I47</f>
        <v>0</v>
      </c>
      <c r="J47" s="68">
        <f>MayYTD!J47-AprYTD!J47</f>
        <v>0</v>
      </c>
      <c r="K47" s="68">
        <f>MayYTD!K47-AprYTD!K47</f>
        <v>0</v>
      </c>
      <c r="L47" s="68">
        <f>MayYTD!L47-AprYTD!L47</f>
        <v>0</v>
      </c>
      <c r="M47" s="68">
        <f>MayYTD!M47-AprYTD!M47</f>
        <v>0</v>
      </c>
      <c r="N47" s="68"/>
      <c r="O47" s="68">
        <f>MayYTD!O47-AprYTD!O47</f>
        <v>0</v>
      </c>
      <c r="P47" s="68">
        <f>MayYTD!P47-AprYTD!P47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MayYTD!E48-AprYTD!E48</f>
        <v>0</v>
      </c>
      <c r="F48" s="68">
        <f>MayYTD!F48-AprYTD!F48</f>
        <v>0</v>
      </c>
      <c r="G48" s="68">
        <f>MayYTD!G48-AprYTD!G48</f>
        <v>0</v>
      </c>
      <c r="H48" s="68">
        <f>MayYTD!H48-AprYTD!H48</f>
        <v>0</v>
      </c>
      <c r="I48" s="68">
        <f>MayYTD!I48-AprYTD!I48</f>
        <v>0</v>
      </c>
      <c r="J48" s="68">
        <f>MayYTD!J48-AprYTD!J48</f>
        <v>0</v>
      </c>
      <c r="K48" s="68">
        <f>MayYTD!K48-AprYTD!K48</f>
        <v>0</v>
      </c>
      <c r="L48" s="68">
        <f>MayYTD!L48-AprYTD!L48</f>
        <v>0</v>
      </c>
      <c r="M48" s="68">
        <f>MayYTD!M48-AprYTD!M48</f>
        <v>0</v>
      </c>
      <c r="N48" s="68"/>
      <c r="O48" s="68">
        <f>MayYTD!O48-AprYTD!O48</f>
        <v>0</v>
      </c>
      <c r="P48" s="68">
        <f>MayYTD!P48-AprYTD!P48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MayYTD!E49-AprYTD!E49</f>
        <v>0</v>
      </c>
      <c r="F49" s="68">
        <f>MayYTD!F49-AprYTD!F49</f>
        <v>0</v>
      </c>
      <c r="G49" s="68">
        <f>MayYTD!G49-AprYTD!G49</f>
        <v>0</v>
      </c>
      <c r="H49" s="68">
        <f>MayYTD!H49-AprYTD!H49</f>
        <v>0</v>
      </c>
      <c r="I49" s="68">
        <f>MayYTD!I49-AprYTD!I49</f>
        <v>0</v>
      </c>
      <c r="J49" s="68">
        <f>MayYTD!J49-AprYTD!J49</f>
        <v>0</v>
      </c>
      <c r="K49" s="68">
        <f>MayYTD!K49-AprYTD!K49</f>
        <v>0</v>
      </c>
      <c r="L49" s="68">
        <f>MayYTD!L49-AprYTD!L49</f>
        <v>0</v>
      </c>
      <c r="M49" s="68">
        <f>MayYTD!M49-AprYTD!M49</f>
        <v>0</v>
      </c>
      <c r="N49" s="72"/>
      <c r="O49" s="68">
        <f>MayYTD!O49-AprYTD!O49</f>
        <v>0</v>
      </c>
      <c r="P49" s="68">
        <f>MayYTD!P49-AprYTD!P49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-23000</v>
      </c>
      <c r="C50" s="63"/>
      <c r="D50" s="79">
        <f t="shared" ref="D50:P50" si="12">SUM(D45:D49)</f>
        <v>-23000</v>
      </c>
      <c r="E50" s="79">
        <f t="shared" si="12"/>
        <v>0</v>
      </c>
      <c r="F50" s="79">
        <f t="shared" si="12"/>
        <v>-23000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-44827.277999999962</v>
      </c>
      <c r="C52" s="63"/>
      <c r="D52" s="77">
        <f t="shared" ref="D52:M52" si="13">D33+D42+D50</f>
        <v>-23324.616999999962</v>
      </c>
      <c r="E52" s="77">
        <f t="shared" si="13"/>
        <v>4913.901000000038</v>
      </c>
      <c r="F52" s="77">
        <f t="shared" si="13"/>
        <v>-21351.350999999995</v>
      </c>
      <c r="G52" s="77">
        <f t="shared" si="13"/>
        <v>0</v>
      </c>
      <c r="H52" s="77">
        <f t="shared" si="13"/>
        <v>1613.4210000000003</v>
      </c>
      <c r="I52" s="77">
        <f t="shared" si="13"/>
        <v>4.6170000000000018</v>
      </c>
      <c r="J52" s="77">
        <f t="shared" si="13"/>
        <v>-1479.6509999999994</v>
      </c>
      <c r="K52" s="77">
        <f t="shared" si="13"/>
        <v>-59.439000000000185</v>
      </c>
      <c r="L52" s="77">
        <f t="shared" si="13"/>
        <v>8.5819999999998799</v>
      </c>
      <c r="M52" s="77">
        <f t="shared" si="13"/>
        <v>2735</v>
      </c>
      <c r="N52" s="77">
        <f>M52+L52</f>
        <v>2743.5819999999999</v>
      </c>
      <c r="O52" s="77">
        <f>O33+O42+O50</f>
        <v>-9765.1440000000021</v>
      </c>
      <c r="P52" s="77">
        <f>P33+P42+P50</f>
        <v>55.446999999999989</v>
      </c>
      <c r="R52" s="77">
        <f>R33+R42+R50</f>
        <v>-21502.661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-63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MayYTD!P54-AprYTD!P54</f>
        <v>0</v>
      </c>
      <c r="R54" s="70">
        <f>MayYTD!R54-AprYTD!R54</f>
        <v>-63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-44890.277999999962</v>
      </c>
      <c r="C56" s="63"/>
      <c r="D56" s="81">
        <f t="shared" ref="D56:P56" si="14">D54+D52</f>
        <v>-23324.616999999962</v>
      </c>
      <c r="E56" s="81">
        <f t="shared" si="14"/>
        <v>4913.901000000038</v>
      </c>
      <c r="F56" s="81">
        <f t="shared" si="14"/>
        <v>-21351.350999999995</v>
      </c>
      <c r="G56" s="81">
        <f t="shared" si="14"/>
        <v>0</v>
      </c>
      <c r="H56" s="81">
        <f t="shared" si="14"/>
        <v>1613.4210000000003</v>
      </c>
      <c r="I56" s="81">
        <f t="shared" si="14"/>
        <v>4.6170000000000018</v>
      </c>
      <c r="J56" s="81">
        <f t="shared" si="14"/>
        <v>-1479.6509999999994</v>
      </c>
      <c r="K56" s="81">
        <f t="shared" si="14"/>
        <v>-59.439000000000185</v>
      </c>
      <c r="L56" s="81">
        <f t="shared" si="14"/>
        <v>8.5819999999998799</v>
      </c>
      <c r="M56" s="81">
        <f t="shared" si="14"/>
        <v>2735</v>
      </c>
      <c r="N56" s="81">
        <f t="shared" si="14"/>
        <v>2743.5819999999999</v>
      </c>
      <c r="O56" s="81">
        <f t="shared" si="14"/>
        <v>-9765.1440000000021</v>
      </c>
      <c r="P56" s="81">
        <f t="shared" si="14"/>
        <v>55.446999999999989</v>
      </c>
      <c r="R56" s="81">
        <f>R54+R52</f>
        <v>-21565.661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22993</v>
      </c>
      <c r="C58" s="46"/>
      <c r="D58" s="70">
        <f>SUM(E58:P58)</f>
        <v>22993</v>
      </c>
      <c r="E58" s="70">
        <f>MayYTD!E58-AprYTD!E58</f>
        <v>-7</v>
      </c>
      <c r="F58" s="70">
        <f>MayYTD!F58-AprYTD!F58</f>
        <v>23000</v>
      </c>
      <c r="G58" s="70">
        <f>MayYTD!G58-AprYTD!G58</f>
        <v>0</v>
      </c>
      <c r="H58" s="70">
        <f>MayYTD!H58-AprYTD!H58</f>
        <v>0</v>
      </c>
      <c r="I58" s="70">
        <f>MayYTD!I58-AprYTD!I58</f>
        <v>0</v>
      </c>
      <c r="J58" s="70">
        <f>MayYTD!J58-AprYTD!J58</f>
        <v>205</v>
      </c>
      <c r="K58" s="70">
        <f>MayYTD!K58-AprYTD!K58</f>
        <v>-205</v>
      </c>
      <c r="L58" s="70">
        <f>MayYTD!L58-AprYTD!L58</f>
        <v>0</v>
      </c>
      <c r="M58" s="70">
        <f>MayYTD!M58-AprYTD!M58</f>
        <v>0</v>
      </c>
      <c r="N58" s="80"/>
      <c r="O58" s="70">
        <f>MayYTD!O58-AprYTD!O58</f>
        <v>0</v>
      </c>
      <c r="P58" s="70">
        <f>MayYTD!P58-AprYTD!P58</f>
        <v>0</v>
      </c>
      <c r="R58" s="55"/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-21897.277999999962</v>
      </c>
      <c r="C60" s="46"/>
      <c r="D60" s="81">
        <f>D56+D58</f>
        <v>-331.61699999996199</v>
      </c>
      <c r="E60" s="81">
        <f>E56+E58</f>
        <v>4906.901000000038</v>
      </c>
      <c r="F60" s="81">
        <f t="shared" ref="F60:M60" si="15">F56+F58</f>
        <v>1648.6490000000049</v>
      </c>
      <c r="G60" s="81">
        <f t="shared" si="15"/>
        <v>0</v>
      </c>
      <c r="H60" s="81">
        <f t="shared" si="15"/>
        <v>1613.4210000000003</v>
      </c>
      <c r="I60" s="81">
        <f t="shared" si="15"/>
        <v>4.6170000000000018</v>
      </c>
      <c r="J60" s="81">
        <f t="shared" si="15"/>
        <v>-1274.6509999999994</v>
      </c>
      <c r="K60" s="81">
        <f t="shared" si="15"/>
        <v>-264.43900000000019</v>
      </c>
      <c r="L60" s="81">
        <f t="shared" si="15"/>
        <v>8.5819999999998799</v>
      </c>
      <c r="M60" s="81">
        <f t="shared" si="15"/>
        <v>2735</v>
      </c>
      <c r="N60" s="81">
        <f>M60+L60</f>
        <v>2743.5819999999999</v>
      </c>
      <c r="O60" s="81">
        <f>O56+O58</f>
        <v>-9765.1440000000021</v>
      </c>
      <c r="P60" s="81">
        <f>P56+P58</f>
        <v>55.446999999999989</v>
      </c>
      <c r="R60" s="81">
        <f>R56+R58</f>
        <v>-21565.661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1" bottom="1" header="0.5" footer="0.5"/>
  <pageSetup scale="6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D36" workbookViewId="0">
      <selection activeCell="R54" sqref="R54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bestFit="1" customWidth="1"/>
    <col min="15" max="15" width="12.1640625" style="48" customWidth="1"/>
    <col min="16" max="16" width="10.83203125" style="48" customWidth="1"/>
    <col min="17" max="17" width="3.6640625" style="48" customWidth="1"/>
    <col min="18" max="18" width="10.6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118484.85300000002</v>
      </c>
      <c r="C8" s="63"/>
      <c r="D8" s="68">
        <f>SUM(E8:M8)+O8+P8</f>
        <v>119151.93400000002</v>
      </c>
      <c r="E8" s="68">
        <f>'[10]05YTD '!J$65</f>
        <v>74259.728000000017</v>
      </c>
      <c r="F8" s="68">
        <f>'[10]05YTD '!K$65</f>
        <v>23548.338000000007</v>
      </c>
      <c r="G8" s="68">
        <f>'[10]05YTD '!L$65</f>
        <v>14141.348</v>
      </c>
      <c r="H8" s="68">
        <f>'[10]05YTD '!M$65</f>
        <v>1443.7400000000002</v>
      </c>
      <c r="I8" s="68">
        <f>'[10]05YTD '!N$65</f>
        <v>-6.7239999999999993</v>
      </c>
      <c r="J8" s="68">
        <f>'[10]05YTD '!O$65</f>
        <v>280.01600000000019</v>
      </c>
      <c r="K8" s="68">
        <f>'[10]05YTD '!P$65</f>
        <v>86.945999999999771</v>
      </c>
      <c r="L8" s="68">
        <f>'[10]05YTD '!Q$65</f>
        <v>-18.398000000000003</v>
      </c>
      <c r="M8" s="68">
        <f>'[8]04YTD'!R$65</f>
        <v>0</v>
      </c>
      <c r="N8" s="68">
        <f>+'[10]05YTD '!$T$65</f>
        <v>-18.398000000000003</v>
      </c>
      <c r="O8" s="68">
        <f>+'[10]05YTD '!$U$65</f>
        <v>5462.4930000000004</v>
      </c>
      <c r="P8" s="68">
        <f>+'[10]05YTD '!$V$65</f>
        <v>-45.553000000000011</v>
      </c>
      <c r="R8" s="68">
        <f>[11]MAY_YTD!$H$8</f>
        <v>-667.08100000000002</v>
      </c>
    </row>
    <row r="9" spans="1:18" ht="12.75" customHeight="1" outlineLevel="4" x14ac:dyDescent="0.2">
      <c r="A9" s="62" t="s">
        <v>29</v>
      </c>
      <c r="B9" s="69">
        <f>D9+R9</f>
        <v>11793.871999999999</v>
      </c>
      <c r="C9" s="63"/>
      <c r="D9" s="70">
        <f>SUM(E9:M9)+O9+P9</f>
        <v>11793.871999999999</v>
      </c>
      <c r="E9" s="70">
        <f>+'[10]05YTD '!J72*-1</f>
        <v>-6010.723</v>
      </c>
      <c r="F9" s="70">
        <f>+'[10]05YTD '!K72*-1</f>
        <v>458.0180000000002</v>
      </c>
      <c r="G9" s="70">
        <f>+'[10]05YTD '!L72</f>
        <v>0</v>
      </c>
      <c r="H9" s="70">
        <f>+'[10]05YTD '!M72*-1</f>
        <v>1463.2829999999999</v>
      </c>
      <c r="I9" s="70">
        <f>+'[10]05YTD '!N72</f>
        <v>0</v>
      </c>
      <c r="J9" s="70">
        <f>+'[10]05YTD '!O72*-1</f>
        <v>135.584</v>
      </c>
      <c r="K9" s="70">
        <f>+'[10]05YTD '!P72</f>
        <v>0</v>
      </c>
      <c r="L9" s="70">
        <f>+'[10]05YTD '!Q72</f>
        <v>0</v>
      </c>
      <c r="M9" s="70">
        <f>'[8]04YTD'!R$72*-1</f>
        <v>0</v>
      </c>
      <c r="N9" s="70">
        <f>+'[10]05YTD '!T72</f>
        <v>0</v>
      </c>
      <c r="O9" s="70">
        <f>+'[10]05YTD '!U72*-1</f>
        <v>15747.71</v>
      </c>
      <c r="P9" s="70">
        <f>+'[10]05YTD '!V72</f>
        <v>0</v>
      </c>
      <c r="R9" s="70">
        <f>'[8]04YTD'!X$72*-1</f>
        <v>0</v>
      </c>
    </row>
    <row r="10" spans="1:18" ht="12.75" customHeight="1" outlineLevel="4" x14ac:dyDescent="0.2">
      <c r="A10" s="67" t="s">
        <v>49</v>
      </c>
      <c r="B10" s="71">
        <f>B8+B9</f>
        <v>130278.72500000002</v>
      </c>
      <c r="C10" s="63"/>
      <c r="D10" s="71">
        <f>D8+D9</f>
        <v>130945.80600000003</v>
      </c>
      <c r="E10" s="71">
        <f>E8+E9</f>
        <v>68249.005000000019</v>
      </c>
      <c r="F10" s="71">
        <f t="shared" ref="F10:L10" si="0">F8+F9</f>
        <v>24006.356000000007</v>
      </c>
      <c r="G10" s="71">
        <f t="shared" si="0"/>
        <v>14141.348</v>
      </c>
      <c r="H10" s="71">
        <f t="shared" si="0"/>
        <v>2907.0230000000001</v>
      </c>
      <c r="I10" s="71">
        <f t="shared" si="0"/>
        <v>-6.7239999999999993</v>
      </c>
      <c r="J10" s="71">
        <f t="shared" si="0"/>
        <v>415.60000000000019</v>
      </c>
      <c r="K10" s="71">
        <f t="shared" si="0"/>
        <v>86.945999999999771</v>
      </c>
      <c r="L10" s="71">
        <f t="shared" si="0"/>
        <v>-18.398000000000003</v>
      </c>
      <c r="M10" s="71">
        <f>M8+M9</f>
        <v>0</v>
      </c>
      <c r="N10" s="71">
        <f>N8+N9</f>
        <v>-18.398000000000003</v>
      </c>
      <c r="O10" s="71">
        <f>O8+O9</f>
        <v>21210.203000000001</v>
      </c>
      <c r="P10" s="71">
        <f>P8+P9</f>
        <v>-45.553000000000011</v>
      </c>
      <c r="R10" s="71">
        <f>R8+R9</f>
        <v>-667.08100000000002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27044.122000000003</v>
      </c>
      <c r="C12" s="63"/>
      <c r="D12" s="68">
        <f t="shared" ref="D12:D18" si="1">SUM(E12:M12)+O12+P12</f>
        <v>27044.122000000003</v>
      </c>
      <c r="E12" s="68">
        <f>+'[10]05YTD '!J36</f>
        <v>18910.375</v>
      </c>
      <c r="F12" s="68">
        <f>+'[10]05YTD '!K36</f>
        <v>8111.4359999999997</v>
      </c>
      <c r="G12" s="68">
        <f>+'[10]05YTD '!L36</f>
        <v>0</v>
      </c>
      <c r="H12" s="68">
        <f>+'[10]05YTD '!M36</f>
        <v>0</v>
      </c>
      <c r="I12" s="68">
        <f>+'[10]05YTD '!N36</f>
        <v>0</v>
      </c>
      <c r="J12" s="68">
        <f>+'[10]05YTD '!O36</f>
        <v>0</v>
      </c>
      <c r="K12" s="68">
        <f>+'[10]05YTD '!P36</f>
        <v>0</v>
      </c>
      <c r="L12" s="68">
        <f>+'[10]05YTD '!Q36</f>
        <v>22.311</v>
      </c>
      <c r="M12" s="68">
        <f>'[8]04YTD'!R$36</f>
        <v>0</v>
      </c>
      <c r="N12" s="68">
        <f>+'[10]05YTD '!T36</f>
        <v>22.311</v>
      </c>
      <c r="O12" s="68">
        <f>+'[10]05YTD '!U36</f>
        <v>0</v>
      </c>
      <c r="P12" s="68">
        <f>+'[10]05YTD '!V36</f>
        <v>0</v>
      </c>
      <c r="R12" s="68">
        <f>[9]APR_YTD!$H11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11049.691000000001</v>
      </c>
      <c r="C13" s="63"/>
      <c r="D13" s="68">
        <f t="shared" si="1"/>
        <v>11024.376</v>
      </c>
      <c r="E13" s="68">
        <f>+'[10]05YTD '!J62</f>
        <v>10207.585999999999</v>
      </c>
      <c r="F13" s="68">
        <f>+'[10]05YTD '!K62</f>
        <v>532.5619999999999</v>
      </c>
      <c r="G13" s="68">
        <f>+'[10]05YTD '!L62</f>
        <v>0</v>
      </c>
      <c r="H13" s="68">
        <f>+'[10]05YTD '!M62</f>
        <v>270.37700000000001</v>
      </c>
      <c r="I13" s="68">
        <f>+'[10]05YTD '!N62</f>
        <v>0</v>
      </c>
      <c r="J13" s="68">
        <f>+'[10]05YTD '!O62</f>
        <v>0</v>
      </c>
      <c r="K13" s="68">
        <f>+'[10]05YTD '!P62</f>
        <v>-3.036</v>
      </c>
      <c r="L13" s="68">
        <f>+'[10]05YTD '!Q62</f>
        <v>16.887</v>
      </c>
      <c r="M13" s="68">
        <f>'[8]04YTD'!R$62</f>
        <v>0</v>
      </c>
      <c r="N13" s="68">
        <f>+'[10]05YTD '!T62</f>
        <v>16.887</v>
      </c>
      <c r="O13" s="68">
        <f>+'[10]05YTD '!U62</f>
        <v>0</v>
      </c>
      <c r="P13" s="68">
        <f>+'[10]05YTD '!V62</f>
        <v>0</v>
      </c>
      <c r="R13" s="68">
        <f>[11]MAY_YTD!$H12</f>
        <v>25.315000000000001</v>
      </c>
    </row>
    <row r="14" spans="1:18" ht="12.75" customHeight="1" outlineLevel="4" x14ac:dyDescent="0.2">
      <c r="A14" s="67" t="s">
        <v>22</v>
      </c>
      <c r="B14" s="63">
        <f t="shared" si="2"/>
        <v>-961.33600000000001</v>
      </c>
      <c r="C14" s="63"/>
      <c r="D14" s="68">
        <f t="shared" si="1"/>
        <v>-961.33600000000001</v>
      </c>
      <c r="E14" s="68">
        <f>-'[10]05YTD '!J46</f>
        <v>-961.33799999999997</v>
      </c>
      <c r="F14" s="68">
        <f>-'[10]05YTD '!K46</f>
        <v>2E-3</v>
      </c>
      <c r="G14" s="68">
        <f>-'[10]05YTD '!L46</f>
        <v>0</v>
      </c>
      <c r="H14" s="68">
        <f>-'[10]05YTD '!M46</f>
        <v>0</v>
      </c>
      <c r="I14" s="68">
        <f>-'[10]05YTD '!N46</f>
        <v>0</v>
      </c>
      <c r="J14" s="68">
        <f>-'[10]05YTD '!O46</f>
        <v>0</v>
      </c>
      <c r="K14" s="68">
        <f>-'[10]05YTD '!P46</f>
        <v>0</v>
      </c>
      <c r="L14" s="68">
        <f>-'[10]05YTD '!Q46</f>
        <v>0</v>
      </c>
      <c r="M14" s="68">
        <f>'[3]01YTD'!R$46*-1</f>
        <v>0</v>
      </c>
      <c r="N14" s="68">
        <f>-'[10]05YTD '!T46</f>
        <v>0</v>
      </c>
      <c r="O14" s="68">
        <f>-'[10]05YTD '!U46</f>
        <v>0</v>
      </c>
      <c r="P14" s="68">
        <f>-'[10]05YTD '!V46</f>
        <v>0</v>
      </c>
      <c r="R14" s="68">
        <f>[9]APR_YTD!$H14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-17228.933000000001</v>
      </c>
      <c r="C16" s="63"/>
      <c r="D16" s="68">
        <f t="shared" si="1"/>
        <v>-18611.088</v>
      </c>
      <c r="E16" s="68">
        <f>-'[10]05YTD '!J43</f>
        <v>-1523.14</v>
      </c>
      <c r="F16" s="68">
        <f>-'[10]05YTD '!K43</f>
        <v>0</v>
      </c>
      <c r="G16" s="68">
        <f>-'[10]05YTD '!L43</f>
        <v>-14141.348</v>
      </c>
      <c r="H16" s="68">
        <f>-'[10]05YTD '!M43</f>
        <v>-2946.6</v>
      </c>
      <c r="I16" s="68">
        <f>-'[10]05YTD '!N43</f>
        <v>0</v>
      </c>
      <c r="J16" s="68">
        <f>-'[10]05YTD '!O43</f>
        <v>0</v>
      </c>
      <c r="K16" s="68">
        <f>-'[10]05YTD '!P43</f>
        <v>0</v>
      </c>
      <c r="L16" s="68">
        <f>-'[10]05YTD '!Q43</f>
        <v>0</v>
      </c>
      <c r="M16" s="68">
        <f>'[3]01YTD'!R$43*-1</f>
        <v>0</v>
      </c>
      <c r="N16" s="68">
        <f>-'[10]05YTD '!T43</f>
        <v>0</v>
      </c>
      <c r="O16" s="68">
        <f>-'[10]05YTD '!U43</f>
        <v>0</v>
      </c>
      <c r="P16" s="68">
        <f>-'[10]05YTD '!V43</f>
        <v>0</v>
      </c>
      <c r="R16" s="68">
        <f>[11]MAY_YTD!$H15</f>
        <v>1382.155</v>
      </c>
    </row>
    <row r="17" spans="1:18" ht="12.75" customHeight="1" outlineLevel="4" x14ac:dyDescent="0.2">
      <c r="A17" s="67" t="s">
        <v>39</v>
      </c>
      <c r="B17" s="63">
        <f t="shared" si="2"/>
        <v>5865</v>
      </c>
      <c r="C17" s="63"/>
      <c r="D17" s="68">
        <f t="shared" si="1"/>
        <v>2465</v>
      </c>
      <c r="E17" s="72">
        <v>833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[11]MAY_YTD!$H16</f>
        <v>3400</v>
      </c>
    </row>
    <row r="18" spans="1:18" ht="12.75" customHeight="1" outlineLevel="4" x14ac:dyDescent="0.2">
      <c r="A18" s="67" t="s">
        <v>32</v>
      </c>
      <c r="B18" s="69">
        <f t="shared" si="2"/>
        <v>-22395</v>
      </c>
      <c r="C18" s="63"/>
      <c r="D18" s="68">
        <f t="shared" si="1"/>
        <v>-22549</v>
      </c>
      <c r="E18" s="70">
        <f>-4465-14700-5740</f>
        <v>-24905</v>
      </c>
      <c r="F18" s="70">
        <f>537+2317+1247</f>
        <v>4101</v>
      </c>
      <c r="G18" s="70">
        <v>0</v>
      </c>
      <c r="H18" s="70"/>
      <c r="I18" s="70">
        <v>1</v>
      </c>
      <c r="J18" s="70">
        <v>-139</v>
      </c>
      <c r="K18" s="70">
        <v>-1</v>
      </c>
      <c r="L18" s="70">
        <v>-2034</v>
      </c>
      <c r="M18" s="70"/>
      <c r="N18" s="68">
        <f>M18+L18</f>
        <v>-2034</v>
      </c>
      <c r="O18" s="70">
        <v>476</v>
      </c>
      <c r="P18" s="70">
        <v>-48</v>
      </c>
      <c r="R18" s="68">
        <f>[11]MAY_YTD!$H17</f>
        <v>154</v>
      </c>
    </row>
    <row r="19" spans="1:18" ht="12.75" customHeight="1" outlineLevel="4" x14ac:dyDescent="0.2">
      <c r="A19" s="62" t="s">
        <v>31</v>
      </c>
      <c r="B19" s="73">
        <f>SUM(B10:B18)</f>
        <v>133652.269</v>
      </c>
      <c r="C19" s="63"/>
      <c r="D19" s="73">
        <f>SUM(D10:D18)</f>
        <v>129357.88</v>
      </c>
      <c r="E19" s="73">
        <f>SUM(E10:E18)</f>
        <v>70810.488000000012</v>
      </c>
      <c r="F19" s="73">
        <f t="shared" ref="F19:R19" si="3">SUM(F10:F18)</f>
        <v>36751.356000000007</v>
      </c>
      <c r="G19" s="73">
        <f t="shared" si="3"/>
        <v>0</v>
      </c>
      <c r="H19" s="73">
        <f t="shared" si="3"/>
        <v>1862.8000000000002</v>
      </c>
      <c r="I19" s="73">
        <f t="shared" si="3"/>
        <v>-5.7239999999999993</v>
      </c>
      <c r="J19" s="73">
        <f t="shared" si="3"/>
        <v>276.60000000000019</v>
      </c>
      <c r="K19" s="73">
        <f t="shared" si="3"/>
        <v>82.909999999999769</v>
      </c>
      <c r="L19" s="73">
        <f t="shared" si="3"/>
        <v>-2013.2</v>
      </c>
      <c r="M19" s="73">
        <f t="shared" si="3"/>
        <v>0</v>
      </c>
      <c r="N19" s="73">
        <f t="shared" si="3"/>
        <v>-2013.2</v>
      </c>
      <c r="O19" s="73">
        <f t="shared" si="3"/>
        <v>21686.203000000001</v>
      </c>
      <c r="P19" s="73">
        <f t="shared" si="3"/>
        <v>-93.553000000000011</v>
      </c>
      <c r="R19" s="73">
        <f t="shared" si="3"/>
        <v>4294.3890000000001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17840</v>
      </c>
      <c r="C22" s="63"/>
      <c r="D22" s="68">
        <f t="shared" ref="D22:D30" si="5">SUM(E22:M22)+O22+P22</f>
        <v>15126</v>
      </c>
      <c r="E22" s="68">
        <v>30768</v>
      </c>
      <c r="F22" s="68">
        <v>-1148</v>
      </c>
      <c r="G22" s="68"/>
      <c r="H22" s="68">
        <v>-134</v>
      </c>
      <c r="I22" s="68">
        <v>12</v>
      </c>
      <c r="J22" s="68">
        <v>-768</v>
      </c>
      <c r="K22" s="68">
        <v>260</v>
      </c>
      <c r="L22" s="68">
        <v>26</v>
      </c>
      <c r="M22" s="68"/>
      <c r="N22" s="68">
        <f t="shared" ref="N22:N30" si="6">M22+L22</f>
        <v>26</v>
      </c>
      <c r="O22" s="68">
        <v>-13868</v>
      </c>
      <c r="P22" s="68">
        <v>-22</v>
      </c>
      <c r="R22" s="68">
        <f>[11]MAY_YTD!$H20</f>
        <v>2714</v>
      </c>
    </row>
    <row r="23" spans="1:18" ht="12.75" customHeight="1" outlineLevel="4" x14ac:dyDescent="0.2">
      <c r="A23" s="67" t="s">
        <v>20</v>
      </c>
      <c r="B23" s="63">
        <f t="shared" si="4"/>
        <v>-6229</v>
      </c>
      <c r="C23" s="63"/>
      <c r="D23" s="68">
        <f t="shared" si="5"/>
        <v>-6229</v>
      </c>
      <c r="E23" s="68">
        <v>2874</v>
      </c>
      <c r="F23" s="68">
        <v>-3610</v>
      </c>
      <c r="G23" s="68"/>
      <c r="H23" s="68"/>
      <c r="I23" s="68">
        <v>-2</v>
      </c>
      <c r="J23" s="68">
        <v>109</v>
      </c>
      <c r="K23" s="68">
        <v>-674</v>
      </c>
      <c r="L23" s="68">
        <v>3210</v>
      </c>
      <c r="M23" s="68"/>
      <c r="N23" s="68">
        <f t="shared" si="6"/>
        <v>3210</v>
      </c>
      <c r="O23" s="68">
        <v>-8447</v>
      </c>
      <c r="P23" s="68">
        <v>311</v>
      </c>
      <c r="R23" s="68">
        <f>[11]MAY_YTD!$H21</f>
        <v>0</v>
      </c>
    </row>
    <row r="24" spans="1:18" ht="12.75" customHeight="1" outlineLevel="4" x14ac:dyDescent="0.2">
      <c r="A24" s="67" t="s">
        <v>9</v>
      </c>
      <c r="B24" s="63">
        <f t="shared" si="4"/>
        <v>352</v>
      </c>
      <c r="C24" s="63"/>
      <c r="D24" s="68">
        <f t="shared" si="5"/>
        <v>352</v>
      </c>
      <c r="E24" s="68">
        <v>51</v>
      </c>
      <c r="F24" s="68">
        <v>128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+[11]MAY_YTD!$H$22</f>
        <v>0</v>
      </c>
    </row>
    <row r="25" spans="1:18" ht="12.75" customHeight="1" outlineLevel="4" x14ac:dyDescent="0.2">
      <c r="A25" s="67" t="s">
        <v>10</v>
      </c>
      <c r="B25" s="63">
        <f t="shared" si="4"/>
        <v>4</v>
      </c>
      <c r="C25" s="63"/>
      <c r="D25" s="68">
        <f t="shared" si="5"/>
        <v>4</v>
      </c>
      <c r="E25" s="68">
        <v>0</v>
      </c>
      <c r="F25" s="68">
        <v>4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[11]MAY_YTD!$H22</f>
        <v>0</v>
      </c>
    </row>
    <row r="26" spans="1:18" ht="12.75" customHeight="1" outlineLevel="4" x14ac:dyDescent="0.2">
      <c r="A26" s="67" t="s">
        <v>11</v>
      </c>
      <c r="B26" s="63">
        <f t="shared" si="4"/>
        <v>-13238</v>
      </c>
      <c r="C26" s="63"/>
      <c r="D26" s="68">
        <f t="shared" si="5"/>
        <v>-13238</v>
      </c>
      <c r="E26" s="68">
        <v>-9382</v>
      </c>
      <c r="F26" s="68">
        <v>-1598</v>
      </c>
      <c r="G26" s="68"/>
      <c r="H26" s="68">
        <v>122</v>
      </c>
      <c r="I26" s="68"/>
      <c r="J26" s="68">
        <v>-1091</v>
      </c>
      <c r="K26" s="68">
        <v>-2</v>
      </c>
      <c r="L26" s="68">
        <v>-110</v>
      </c>
      <c r="M26" s="68"/>
      <c r="N26" s="68">
        <f t="shared" si="6"/>
        <v>-110</v>
      </c>
      <c r="O26" s="68">
        <v>-1071</v>
      </c>
      <c r="P26" s="68">
        <v>-106</v>
      </c>
      <c r="R26" s="68">
        <f>[11]MAY_YTD!$H23</f>
        <v>0</v>
      </c>
    </row>
    <row r="27" spans="1:18" ht="12.75" customHeight="1" outlineLevel="4" x14ac:dyDescent="0.2">
      <c r="A27" s="62" t="s">
        <v>12</v>
      </c>
      <c r="B27" s="63">
        <f t="shared" si="4"/>
        <v>-428</v>
      </c>
      <c r="C27" s="63"/>
      <c r="D27" s="68">
        <f t="shared" si="5"/>
        <v>-425</v>
      </c>
      <c r="E27" s="68">
        <v>318</v>
      </c>
      <c r="F27" s="68">
        <v>-742</v>
      </c>
      <c r="G27" s="68"/>
      <c r="H27" s="68">
        <v>-1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[11]MAY_YTD!$H24</f>
        <v>-3</v>
      </c>
    </row>
    <row r="28" spans="1:18" ht="12.75" customHeight="1" outlineLevel="4" x14ac:dyDescent="0.2">
      <c r="A28" s="67" t="s">
        <v>13</v>
      </c>
      <c r="B28" s="63">
        <f t="shared" si="4"/>
        <v>-1070</v>
      </c>
      <c r="C28" s="63"/>
      <c r="D28" s="68">
        <f t="shared" si="5"/>
        <v>-1215</v>
      </c>
      <c r="E28" s="68">
        <v>1048</v>
      </c>
      <c r="F28" s="68">
        <v>-990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0</v>
      </c>
      <c r="N28" s="68">
        <f t="shared" si="6"/>
        <v>-1262</v>
      </c>
      <c r="O28" s="68">
        <v>-8</v>
      </c>
      <c r="P28" s="68"/>
      <c r="R28" s="68">
        <f>+[11]MAY_YTD!$H$26</f>
        <v>145</v>
      </c>
    </row>
    <row r="29" spans="1:18" ht="12.75" customHeight="1" outlineLevel="4" x14ac:dyDescent="0.2">
      <c r="A29" s="67" t="s">
        <v>14</v>
      </c>
      <c r="B29" s="63">
        <f t="shared" si="4"/>
        <v>3768</v>
      </c>
      <c r="C29" s="63"/>
      <c r="D29" s="68">
        <f t="shared" si="5"/>
        <v>3768</v>
      </c>
      <c r="E29" s="72">
        <v>5875</v>
      </c>
      <c r="F29" s="72">
        <v>-2107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+[11]MAY_YTD!$H$27</f>
        <v>0</v>
      </c>
    </row>
    <row r="30" spans="1:18" ht="12.75" customHeight="1" outlineLevel="4" x14ac:dyDescent="0.2">
      <c r="A30" s="67" t="s">
        <v>30</v>
      </c>
      <c r="B30" s="69">
        <f t="shared" si="4"/>
        <v>-13895</v>
      </c>
      <c r="C30" s="63"/>
      <c r="D30" s="68">
        <f t="shared" si="5"/>
        <v>-13895</v>
      </c>
      <c r="E30" s="70">
        <v>-11374</v>
      </c>
      <c r="F30" s="70">
        <v>-25</v>
      </c>
      <c r="G30" s="70"/>
      <c r="H30" s="70">
        <v>-96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-2403</v>
      </c>
      <c r="P30" s="70"/>
      <c r="R30" s="68">
        <f>+[11]MAY_YTD!$H$28</f>
        <v>0</v>
      </c>
    </row>
    <row r="31" spans="1:18" ht="12.75" customHeight="1" outlineLevel="4" x14ac:dyDescent="0.2">
      <c r="A31" s="67" t="s">
        <v>33</v>
      </c>
      <c r="B31" s="84">
        <f>SUM(B21:B30)</f>
        <v>-12896</v>
      </c>
      <c r="C31" s="74"/>
      <c r="D31" s="84">
        <f>SUM(D21:D30)</f>
        <v>-15752</v>
      </c>
      <c r="E31" s="84">
        <f>SUM(E21:E30)</f>
        <v>20178</v>
      </c>
      <c r="F31" s="84">
        <f t="shared" ref="F31:R31" si="7">SUM(F21:F30)</f>
        <v>-10088</v>
      </c>
      <c r="G31" s="84">
        <f t="shared" si="7"/>
        <v>0</v>
      </c>
      <c r="H31" s="84">
        <f t="shared" si="7"/>
        <v>-109</v>
      </c>
      <c r="I31" s="84">
        <f t="shared" si="7"/>
        <v>10</v>
      </c>
      <c r="J31" s="84">
        <f t="shared" si="7"/>
        <v>-1752</v>
      </c>
      <c r="K31" s="84">
        <f t="shared" si="7"/>
        <v>-417</v>
      </c>
      <c r="L31" s="84">
        <f t="shared" si="7"/>
        <v>2040</v>
      </c>
      <c r="M31" s="84">
        <f t="shared" si="7"/>
        <v>0</v>
      </c>
      <c r="N31" s="84">
        <f t="shared" si="7"/>
        <v>2040</v>
      </c>
      <c r="O31" s="84">
        <f t="shared" si="7"/>
        <v>-25797</v>
      </c>
      <c r="P31" s="84">
        <f t="shared" si="7"/>
        <v>183</v>
      </c>
      <c r="R31" s="84">
        <f t="shared" si="7"/>
        <v>2856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120756.269</v>
      </c>
      <c r="C33" s="63"/>
      <c r="D33" s="75">
        <f t="shared" ref="D33:P33" si="8">D19+D31</f>
        <v>113605.88</v>
      </c>
      <c r="E33" s="75">
        <f t="shared" si="8"/>
        <v>90988.488000000012</v>
      </c>
      <c r="F33" s="75">
        <f t="shared" si="8"/>
        <v>26663.356000000007</v>
      </c>
      <c r="G33" s="75">
        <f t="shared" si="8"/>
        <v>0</v>
      </c>
      <c r="H33" s="75">
        <f t="shared" si="8"/>
        <v>1753.8000000000002</v>
      </c>
      <c r="I33" s="75">
        <f t="shared" si="8"/>
        <v>4.2760000000000007</v>
      </c>
      <c r="J33" s="75">
        <f t="shared" si="8"/>
        <v>-1475.3999999999999</v>
      </c>
      <c r="K33" s="75">
        <f t="shared" si="8"/>
        <v>-334.09000000000026</v>
      </c>
      <c r="L33" s="75">
        <f t="shared" si="8"/>
        <v>26.799999999999955</v>
      </c>
      <c r="M33" s="75">
        <f t="shared" si="8"/>
        <v>0</v>
      </c>
      <c r="N33" s="75">
        <f t="shared" si="8"/>
        <v>26.799999999999955</v>
      </c>
      <c r="O33" s="75">
        <f t="shared" si="8"/>
        <v>-4110.7969999999987</v>
      </c>
      <c r="P33" s="75">
        <f t="shared" si="8"/>
        <v>89.446999999999989</v>
      </c>
      <c r="R33" s="75">
        <f>R19+R31</f>
        <v>7150.3890000000001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5464</v>
      </c>
      <c r="C36" s="63"/>
      <c r="D36" s="68">
        <f>SUM(E36:M36)+O36+P36</f>
        <v>5464</v>
      </c>
      <c r="E36" s="76">
        <v>5464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-23456</v>
      </c>
      <c r="C37" s="63"/>
      <c r="D37" s="68">
        <f>SUM(E37:M37)+O37+P37</f>
        <v>-23456</v>
      </c>
      <c r="E37" s="76">
        <v>-13325</v>
      </c>
      <c r="F37" s="76">
        <v>-10131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18010</v>
      </c>
      <c r="C38" s="63"/>
      <c r="D38" s="68">
        <f>SUM(E38:M38)+O38+P38</f>
        <v>18010</v>
      </c>
      <c r="E38" s="76">
        <f>18252-288</f>
        <v>17964</v>
      </c>
      <c r="F38" s="76">
        <f>194-148</f>
        <v>46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[11]MAY_YTD!$H$37</f>
        <v>-6770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-3</v>
      </c>
      <c r="C41" s="63"/>
      <c r="D41" s="70">
        <f>SUM(E41:M41)+O41+P41</f>
        <v>-3</v>
      </c>
      <c r="E41" s="70">
        <v>-3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-6755</v>
      </c>
      <c r="C42" s="77">
        <f>SUM(C36:C41)</f>
        <v>0</v>
      </c>
      <c r="D42" s="75">
        <f>SUM(D36:D41)</f>
        <v>15</v>
      </c>
      <c r="E42" s="75">
        <f>SUM(E36:E41)</f>
        <v>10100</v>
      </c>
      <c r="F42" s="75">
        <f t="shared" ref="F42:R42" si="10">SUM(F36:F41)</f>
        <v>-10085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-6770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-123000</v>
      </c>
      <c r="C47" s="63"/>
      <c r="D47" s="68">
        <f>SUM(E47:P47)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R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141001.269</v>
      </c>
      <c r="C52" s="63"/>
      <c r="D52" s="77">
        <f t="shared" ref="D52:M52" si="12">D33+D42+D50</f>
        <v>140620.88</v>
      </c>
      <c r="E52" s="77">
        <f t="shared" si="12"/>
        <v>101088.48800000001</v>
      </c>
      <c r="F52" s="77">
        <f t="shared" si="12"/>
        <v>43578.356000000007</v>
      </c>
      <c r="G52" s="77">
        <f t="shared" si="12"/>
        <v>0</v>
      </c>
      <c r="H52" s="77">
        <f t="shared" si="12"/>
        <v>1753.8000000000002</v>
      </c>
      <c r="I52" s="77">
        <f t="shared" si="12"/>
        <v>4.2760000000000007</v>
      </c>
      <c r="J52" s="77">
        <f t="shared" si="12"/>
        <v>-1475.3999999999999</v>
      </c>
      <c r="K52" s="77">
        <f t="shared" si="12"/>
        <v>-334.09000000000026</v>
      </c>
      <c r="L52" s="77">
        <f t="shared" si="12"/>
        <v>26.799999999999955</v>
      </c>
      <c r="M52" s="77">
        <f t="shared" si="12"/>
        <v>0</v>
      </c>
      <c r="N52" s="77">
        <f>M52+L52</f>
        <v>26.799999999999955</v>
      </c>
      <c r="O52" s="77">
        <f>O33+O42+O50</f>
        <v>-4110.7969999999987</v>
      </c>
      <c r="P52" s="77">
        <f>P33+P42+P50</f>
        <v>89.446999999999989</v>
      </c>
      <c r="R52" s="77">
        <f>R33+R42+R50</f>
        <v>380.38900000000012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-3538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[11]MAY_YTD!$H$50</f>
        <v>-3538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137463.269</v>
      </c>
      <c r="C56" s="63"/>
      <c r="D56" s="81">
        <f t="shared" ref="D56:K56" si="13">D54+D52</f>
        <v>140620.88</v>
      </c>
      <c r="E56" s="81">
        <f t="shared" si="13"/>
        <v>101088.48800000001</v>
      </c>
      <c r="F56" s="81">
        <f t="shared" si="13"/>
        <v>43578.356000000007</v>
      </c>
      <c r="G56" s="81">
        <f t="shared" si="13"/>
        <v>0</v>
      </c>
      <c r="H56" s="81">
        <f t="shared" si="13"/>
        <v>1753.8000000000002</v>
      </c>
      <c r="I56" s="81">
        <f t="shared" si="13"/>
        <v>4.2760000000000007</v>
      </c>
      <c r="J56" s="81">
        <f t="shared" si="13"/>
        <v>-1475.3999999999999</v>
      </c>
      <c r="K56" s="81">
        <f t="shared" si="13"/>
        <v>-334.09000000000026</v>
      </c>
      <c r="L56" s="81">
        <f>L52-L54</f>
        <v>26.799999999999955</v>
      </c>
      <c r="M56" s="81">
        <f>M52-M54</f>
        <v>0</v>
      </c>
      <c r="N56" s="81">
        <f>N54+N52</f>
        <v>26.799999999999955</v>
      </c>
      <c r="O56" s="81">
        <f>O54+O52</f>
        <v>-4110.7969999999987</v>
      </c>
      <c r="P56" s="81">
        <f>P54+P52</f>
        <v>89.446999999999989</v>
      </c>
      <c r="R56" s="81">
        <f>+R52-R54</f>
        <v>3918.3890000000001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-27034</v>
      </c>
      <c r="C58" s="46"/>
      <c r="D58" s="70">
        <f>SUM(E58:P58)</f>
        <v>-27034</v>
      </c>
      <c r="E58" s="80">
        <v>-33</v>
      </c>
      <c r="F58" s="80">
        <v>-27000</v>
      </c>
      <c r="G58" s="80">
        <v>0</v>
      </c>
      <c r="H58" s="80">
        <v>0</v>
      </c>
      <c r="I58" s="80">
        <v>173</v>
      </c>
      <c r="J58" s="80">
        <v>-231</v>
      </c>
      <c r="K58" s="80">
        <v>57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110429.269</v>
      </c>
      <c r="C60" s="46"/>
      <c r="D60" s="81">
        <f t="shared" ref="D60:M60" si="14">D56+D58</f>
        <v>113586.88</v>
      </c>
      <c r="E60" s="81">
        <f t="shared" si="14"/>
        <v>101055.48800000001</v>
      </c>
      <c r="F60" s="81">
        <f t="shared" si="14"/>
        <v>16578.356000000007</v>
      </c>
      <c r="G60" s="81">
        <f t="shared" si="14"/>
        <v>0</v>
      </c>
      <c r="H60" s="81">
        <f t="shared" si="14"/>
        <v>1753.8000000000002</v>
      </c>
      <c r="I60" s="81">
        <f t="shared" si="14"/>
        <v>177.27600000000001</v>
      </c>
      <c r="J60" s="81">
        <f t="shared" si="14"/>
        <v>-1706.3999999999999</v>
      </c>
      <c r="K60" s="81">
        <f t="shared" si="14"/>
        <v>-277.09000000000026</v>
      </c>
      <c r="L60" s="81">
        <f t="shared" si="14"/>
        <v>26.799999999999955</v>
      </c>
      <c r="M60" s="81">
        <f t="shared" si="14"/>
        <v>0</v>
      </c>
      <c r="N60" s="81">
        <f>M60+L60</f>
        <v>26.799999999999955</v>
      </c>
      <c r="O60" s="81">
        <f>O56+O58</f>
        <v>-4110.7969999999987</v>
      </c>
      <c r="P60" s="81">
        <f>P56+P58</f>
        <v>89.446999999999989</v>
      </c>
      <c r="R60" s="81">
        <f>R56+R58</f>
        <v>3918.3890000000001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37" right="0.36" top="0.56000000000000005" bottom="0.46" header="0.5" footer="0.5"/>
  <pageSetup scale="7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13704.028999999986</v>
      </c>
      <c r="C8" s="63"/>
      <c r="D8" s="68">
        <f>SUM(E8:M8)+O8+P8</f>
        <v>13204.694999999985</v>
      </c>
      <c r="E8" s="68">
        <f>AprYTD!E8-MarYTD!E8</f>
        <v>1369.9259999999849</v>
      </c>
      <c r="F8" s="68">
        <f>AprYTD!F8-MarYTD!F8</f>
        <v>5146.3990000000013</v>
      </c>
      <c r="G8" s="68">
        <f>AprYTD!G8-MarYTD!G8</f>
        <v>5276.4930000000004</v>
      </c>
      <c r="H8" s="68">
        <f>AprYTD!H8-MarYTD!H8</f>
        <v>221.38699999999994</v>
      </c>
      <c r="I8" s="68">
        <f>AprYTD!I8-MarYTD!I8</f>
        <v>-5.5999999999998828E-2</v>
      </c>
      <c r="J8" s="68">
        <f>AprYTD!J8-MarYTD!J8</f>
        <v>-271.71300000000036</v>
      </c>
      <c r="K8" s="68">
        <f>AprYTD!K8-MarYTD!K8</f>
        <v>19.942000000000007</v>
      </c>
      <c r="L8" s="68">
        <f>AprYTD!L8-MarYTD!L8</f>
        <v>-0.53699999999999903</v>
      </c>
      <c r="M8" s="68">
        <f>AprYTD!M8-MarYTD!M8</f>
        <v>0</v>
      </c>
      <c r="N8" s="68">
        <f>M8+L8</f>
        <v>-0.53699999999999903</v>
      </c>
      <c r="O8" s="68">
        <f>AprYTD!O8-MarYTD!O8</f>
        <v>1442.8530000000001</v>
      </c>
      <c r="P8" s="68">
        <f>AprYTD!P8-MarYTD!P8</f>
        <v>9.9999999999944578E-4</v>
      </c>
      <c r="R8" s="68">
        <f>AprYTD!R8-MarYTD!R8</f>
        <v>499.33399999999995</v>
      </c>
    </row>
    <row r="9" spans="1:18" ht="12.75" customHeight="1" outlineLevel="4" x14ac:dyDescent="0.2">
      <c r="A9" s="62" t="s">
        <v>29</v>
      </c>
      <c r="B9" s="69">
        <f>D9+R9</f>
        <v>1554.2950000000012</v>
      </c>
      <c r="C9" s="63"/>
      <c r="D9" s="70">
        <f>SUM(E9:M9)+O9+P9</f>
        <v>1554.2950000000012</v>
      </c>
      <c r="E9" s="70">
        <f>AprYTD!E9-MarYTD!E9</f>
        <v>-1219.3600000000006</v>
      </c>
      <c r="F9" s="70">
        <f>AprYTD!F9-MarYTD!F9</f>
        <v>-592.28000000000009</v>
      </c>
      <c r="G9" s="70">
        <f>AprYTD!G9-MarYTD!G9</f>
        <v>0</v>
      </c>
      <c r="H9" s="70">
        <f>AprYTD!H9-MarYTD!H9</f>
        <v>292.65599999999984</v>
      </c>
      <c r="I9" s="70">
        <f>AprYTD!I9-MarYTD!I9</f>
        <v>0</v>
      </c>
      <c r="J9" s="70">
        <f>AprYTD!J9-MarYTD!J9</f>
        <v>27.117000000000004</v>
      </c>
      <c r="K9" s="70">
        <f>AprYTD!K9-MarYTD!K9</f>
        <v>0</v>
      </c>
      <c r="L9" s="70">
        <f>AprYTD!L9-MarYTD!L9</f>
        <v>0</v>
      </c>
      <c r="M9" s="70">
        <f>AprYTD!M9-MarYTD!M9</f>
        <v>0</v>
      </c>
      <c r="N9" s="70">
        <f>M9+L9</f>
        <v>0</v>
      </c>
      <c r="O9" s="70">
        <f>AprYTD!O9-MarYTD!O9</f>
        <v>3046.1620000000021</v>
      </c>
      <c r="P9" s="70">
        <f>AprYTD!P9-MarYTD!P9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15258.323999999988</v>
      </c>
      <c r="C10" s="63"/>
      <c r="D10" s="71">
        <f t="shared" ref="D10:M10" si="0">D8+D9</f>
        <v>14758.989999999987</v>
      </c>
      <c r="E10" s="71">
        <f t="shared" si="0"/>
        <v>150.56599999998434</v>
      </c>
      <c r="F10" s="71">
        <f t="shared" si="0"/>
        <v>4554.1190000000015</v>
      </c>
      <c r="G10" s="71">
        <f t="shared" si="0"/>
        <v>5276.4930000000004</v>
      </c>
      <c r="H10" s="71">
        <f t="shared" si="0"/>
        <v>514.04299999999978</v>
      </c>
      <c r="I10" s="71">
        <f t="shared" si="0"/>
        <v>-5.5999999999998828E-2</v>
      </c>
      <c r="J10" s="71">
        <f t="shared" si="0"/>
        <v>-244.59600000000034</v>
      </c>
      <c r="K10" s="71">
        <f t="shared" si="0"/>
        <v>19.942000000000007</v>
      </c>
      <c r="L10" s="71">
        <f t="shared" si="0"/>
        <v>-0.53699999999999903</v>
      </c>
      <c r="M10" s="71">
        <f t="shared" si="0"/>
        <v>0</v>
      </c>
      <c r="N10" s="71">
        <f>N8</f>
        <v>-0.53699999999999903</v>
      </c>
      <c r="O10" s="71">
        <f>O8+O9</f>
        <v>4489.0150000000021</v>
      </c>
      <c r="P10" s="71">
        <f>P8+P9</f>
        <v>9.9999999999944578E-4</v>
      </c>
      <c r="R10" s="71">
        <f>R8+R9</f>
        <v>499.33399999999995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5492.0579999999991</v>
      </c>
      <c r="C12" s="63"/>
      <c r="D12" s="68">
        <f t="shared" ref="D12:D18" si="1">SUM(E12:M12)+O12+P12</f>
        <v>5492.0579999999991</v>
      </c>
      <c r="E12" s="68">
        <f>AprYTD!E12-MarYTD!E12</f>
        <v>3863.1089999999986</v>
      </c>
      <c r="F12" s="68">
        <f>AprYTD!F12-MarYTD!F12</f>
        <v>1628.9490000000005</v>
      </c>
      <c r="G12" s="68">
        <f>AprYTD!G12-MarYTD!G12</f>
        <v>0</v>
      </c>
      <c r="H12" s="68">
        <f>AprYTD!H12-MarYTD!H12</f>
        <v>0</v>
      </c>
      <c r="I12" s="68">
        <f>AprYTD!I12-MarYTD!I12</f>
        <v>0</v>
      </c>
      <c r="J12" s="68">
        <f>AprYTD!J12-MarYTD!J12</f>
        <v>0</v>
      </c>
      <c r="K12" s="68">
        <f>AprYTD!K12-MarYTD!K12</f>
        <v>0</v>
      </c>
      <c r="L12" s="68">
        <f>AprYTD!L12-MarYTD!L12</f>
        <v>0</v>
      </c>
      <c r="M12" s="68">
        <f>AprYTD!M12-MarYTD!M12</f>
        <v>0</v>
      </c>
      <c r="N12" s="68">
        <f t="shared" ref="N12:N18" si="2">M12+L12</f>
        <v>0</v>
      </c>
      <c r="O12" s="68">
        <f>AprYTD!O12-MarYTD!O12</f>
        <v>0</v>
      </c>
      <c r="P12" s="68">
        <f>AprYTD!P12-MarYTD!P12</f>
        <v>0</v>
      </c>
      <c r="R12" s="68">
        <f>AprYTD!R12-MarYTD!R12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1024.7280000000003</v>
      </c>
      <c r="C13" s="63"/>
      <c r="D13" s="68">
        <f t="shared" si="1"/>
        <v>1019.6650000000003</v>
      </c>
      <c r="E13" s="68">
        <f>AprYTD!E13-MarYTD!E13</f>
        <v>866.78200000000015</v>
      </c>
      <c r="F13" s="68">
        <f>AprYTD!F13-MarYTD!F13</f>
        <v>93.425000000000068</v>
      </c>
      <c r="G13" s="68">
        <f>AprYTD!G13-MarYTD!G13</f>
        <v>0</v>
      </c>
      <c r="H13" s="68">
        <f>AprYTD!H13-MarYTD!H13</f>
        <v>55.004000000000019</v>
      </c>
      <c r="I13" s="68">
        <f>AprYTD!I13-MarYTD!I13</f>
        <v>0</v>
      </c>
      <c r="J13" s="68">
        <f>AprYTD!J13-MarYTD!J13</f>
        <v>0</v>
      </c>
      <c r="K13" s="68">
        <f>AprYTD!K13-MarYTD!K13</f>
        <v>-0.60700000000000021</v>
      </c>
      <c r="L13" s="68">
        <f>AprYTD!L13-MarYTD!L13</f>
        <v>5.0609999999999991</v>
      </c>
      <c r="M13" s="68">
        <f>AprYTD!M13-MarYTD!M13</f>
        <v>0</v>
      </c>
      <c r="N13" s="68">
        <f t="shared" si="2"/>
        <v>5.0609999999999991</v>
      </c>
      <c r="O13" s="68">
        <f>AprYTD!O13-MarYTD!O13</f>
        <v>0</v>
      </c>
      <c r="P13" s="68">
        <f>AprYTD!P13-MarYTD!P13</f>
        <v>0</v>
      </c>
      <c r="R13" s="68">
        <f>AprYTD!R13-MarYTD!R13</f>
        <v>5.0629999999999988</v>
      </c>
    </row>
    <row r="14" spans="1:18" ht="12.75" customHeight="1" outlineLevel="4" x14ac:dyDescent="0.2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AprYTD!E14-MarYTD!E14</f>
        <v>0</v>
      </c>
      <c r="F14" s="68">
        <f>AprYTD!F14-MarYTD!F14</f>
        <v>0</v>
      </c>
      <c r="G14" s="68">
        <f>AprYTD!G14-MarYTD!G14</f>
        <v>0</v>
      </c>
      <c r="H14" s="68">
        <f>AprYTD!H14-MarYTD!H14</f>
        <v>0</v>
      </c>
      <c r="I14" s="68">
        <f>AprYTD!I14-MarYTD!I14</f>
        <v>0</v>
      </c>
      <c r="J14" s="68">
        <f>AprYTD!J14-MarYTD!J14</f>
        <v>0</v>
      </c>
      <c r="K14" s="68">
        <f>AprYTD!K14-MarYTD!K14</f>
        <v>0</v>
      </c>
      <c r="L14" s="68">
        <f>AprYTD!L14-MarYTD!L14</f>
        <v>0</v>
      </c>
      <c r="M14" s="68">
        <f>AprYTD!M14-MarYTD!M14</f>
        <v>0</v>
      </c>
      <c r="N14" s="68">
        <f t="shared" si="2"/>
        <v>0</v>
      </c>
      <c r="O14" s="68">
        <f>AprYTD!O14-MarYTD!O14</f>
        <v>0</v>
      </c>
      <c r="P14" s="68">
        <f>AprYTD!P14-MarYTD!P14</f>
        <v>0</v>
      </c>
      <c r="R14" s="68">
        <f>AprYTD!R14-MarYTD!R14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AprYTD!E15-MarYTD!E15</f>
        <v>0</v>
      </c>
      <c r="F15" s="68">
        <f>AprYTD!F15-MarYTD!F15</f>
        <v>0</v>
      </c>
      <c r="G15" s="68">
        <f>AprYTD!G15-MarYTD!G15</f>
        <v>0</v>
      </c>
      <c r="H15" s="68">
        <f>AprYTD!H15-MarYTD!H15</f>
        <v>0</v>
      </c>
      <c r="I15" s="68">
        <f>AprYTD!I15-MarYTD!I15</f>
        <v>0</v>
      </c>
      <c r="J15" s="68">
        <f>AprYTD!J15-MarYTD!J15</f>
        <v>0</v>
      </c>
      <c r="K15" s="68">
        <f>AprYTD!K15-MarYTD!K15</f>
        <v>0</v>
      </c>
      <c r="L15" s="68">
        <f>AprYTD!L15-MarYTD!L15</f>
        <v>0</v>
      </c>
      <c r="M15" s="68">
        <f>AprYTD!M15-MarYTD!M15</f>
        <v>0</v>
      </c>
      <c r="N15" s="68">
        <f t="shared" si="2"/>
        <v>0</v>
      </c>
      <c r="O15" s="68">
        <f>AprYTD!O15-MarYTD!O15</f>
        <v>0</v>
      </c>
      <c r="P15" s="68">
        <f>AprYTD!P15-MarYTD!P15</f>
        <v>0</v>
      </c>
      <c r="R15" s="68">
        <f>AprYTD!R15-MarYTD!R15</f>
        <v>0</v>
      </c>
    </row>
    <row r="16" spans="1:18" ht="12.75" customHeight="1" outlineLevel="4" x14ac:dyDescent="0.2">
      <c r="A16" s="67" t="s">
        <v>38</v>
      </c>
      <c r="B16" s="63">
        <f t="shared" si="3"/>
        <v>-6622.7360000000008</v>
      </c>
      <c r="C16" s="63"/>
      <c r="D16" s="68">
        <f t="shared" si="1"/>
        <v>-6103.1510000000007</v>
      </c>
      <c r="E16" s="68">
        <f>AprYTD!E16-MarYTD!E16</f>
        <v>-309.17999999999995</v>
      </c>
      <c r="F16" s="68">
        <f>AprYTD!F16-MarYTD!F16</f>
        <v>0</v>
      </c>
      <c r="G16" s="68">
        <f>AprYTD!G16-MarYTD!G16</f>
        <v>-5276.4930000000004</v>
      </c>
      <c r="H16" s="68">
        <f>AprYTD!H16-MarYTD!H16</f>
        <v>-517.47800000000007</v>
      </c>
      <c r="I16" s="68">
        <f>AprYTD!I16-MarYTD!I16</f>
        <v>0</v>
      </c>
      <c r="J16" s="68">
        <f>AprYTD!J16-MarYTD!J16</f>
        <v>0</v>
      </c>
      <c r="K16" s="68">
        <f>AprYTD!K16-MarYTD!K16</f>
        <v>0</v>
      </c>
      <c r="L16" s="68">
        <f>AprYTD!L16-MarYTD!L16</f>
        <v>0</v>
      </c>
      <c r="M16" s="68">
        <f>AprYTD!M16-MarYTD!M16</f>
        <v>0</v>
      </c>
      <c r="N16" s="68">
        <f t="shared" si="2"/>
        <v>0</v>
      </c>
      <c r="O16" s="68">
        <f>AprYTD!O16-MarYTD!O16</f>
        <v>0</v>
      </c>
      <c r="P16" s="68">
        <f>AprYTD!P16-MarYTD!P16</f>
        <v>0</v>
      </c>
      <c r="R16" s="68">
        <f>AprYTD!R16-MarYTD!R16</f>
        <v>-519.58500000000004</v>
      </c>
    </row>
    <row r="17" spans="1:18" ht="12.75" customHeight="1" outlineLevel="4" x14ac:dyDescent="0.2">
      <c r="A17" s="67" t="s">
        <v>39</v>
      </c>
      <c r="B17" s="63">
        <f t="shared" si="3"/>
        <v>33</v>
      </c>
      <c r="C17" s="63"/>
      <c r="D17" s="68">
        <f t="shared" si="1"/>
        <v>33</v>
      </c>
      <c r="E17" s="68">
        <f>AprYTD!E17-MarYTD!E17</f>
        <v>33</v>
      </c>
      <c r="F17" s="68">
        <f>AprYTD!F17-MarYTD!F17</f>
        <v>0</v>
      </c>
      <c r="G17" s="68">
        <f>AprYTD!G17-MarYTD!G17</f>
        <v>0</v>
      </c>
      <c r="H17" s="68">
        <f>AprYTD!H17-MarYTD!H17</f>
        <v>0</v>
      </c>
      <c r="I17" s="68">
        <f>AprYTD!I17-MarYTD!I17</f>
        <v>0</v>
      </c>
      <c r="J17" s="68">
        <f>AprYTD!J17-MarYTD!J17</f>
        <v>0</v>
      </c>
      <c r="K17" s="68">
        <f>AprYTD!K17-MarYTD!K17</f>
        <v>0</v>
      </c>
      <c r="L17" s="68">
        <f>AprYTD!L17-MarYTD!L17</f>
        <v>0</v>
      </c>
      <c r="M17" s="68">
        <f>AprYTD!M17-MarYTD!M17</f>
        <v>0</v>
      </c>
      <c r="N17" s="68">
        <f t="shared" si="2"/>
        <v>0</v>
      </c>
      <c r="O17" s="68">
        <f>AprYTD!O17-MarYTD!O17</f>
        <v>0</v>
      </c>
      <c r="P17" s="68">
        <f>AprYTD!P17-MarYTD!P17</f>
        <v>0</v>
      </c>
      <c r="R17" s="68">
        <f>AprYTD!R17-MarYTD!R17</f>
        <v>0</v>
      </c>
    </row>
    <row r="18" spans="1:18" ht="12.75" customHeight="1" outlineLevel="4" x14ac:dyDescent="0.2">
      <c r="A18" s="67" t="s">
        <v>32</v>
      </c>
      <c r="B18" s="69">
        <f t="shared" si="3"/>
        <v>54313</v>
      </c>
      <c r="C18" s="63"/>
      <c r="D18" s="68">
        <f t="shared" si="1"/>
        <v>54411</v>
      </c>
      <c r="E18" s="68">
        <f>AprYTD!E18-MarYTD!E18</f>
        <v>-1012</v>
      </c>
      <c r="F18" s="68">
        <f>AprYTD!F18-MarYTD!F18</f>
        <v>3276</v>
      </c>
      <c r="G18" s="68">
        <f>AprYTD!G18-MarYTD!G18</f>
        <v>0</v>
      </c>
      <c r="H18" s="68">
        <f>AprYTD!H18-MarYTD!H18</f>
        <v>0</v>
      </c>
      <c r="I18" s="68">
        <f>AprYTD!I18-MarYTD!I18</f>
        <v>-1</v>
      </c>
      <c r="J18" s="68">
        <f>AprYTD!J18-MarYTD!J18</f>
        <v>599</v>
      </c>
      <c r="K18" s="68">
        <f>AprYTD!K18-MarYTD!K18</f>
        <v>-59</v>
      </c>
      <c r="L18" s="68">
        <f>AprYTD!L18-MarYTD!L18</f>
        <v>1256</v>
      </c>
      <c r="M18" s="68">
        <f>AprYTD!M18-MarYTD!M18</f>
        <v>50236</v>
      </c>
      <c r="N18" s="68">
        <f t="shared" si="2"/>
        <v>51492</v>
      </c>
      <c r="O18" s="68">
        <f>AprYTD!O18-MarYTD!O18</f>
        <v>113</v>
      </c>
      <c r="P18" s="68">
        <f>AprYTD!P18-MarYTD!P18</f>
        <v>3</v>
      </c>
      <c r="R18" s="68">
        <f>AprYTD!R18-MarYTD!R18</f>
        <v>-98</v>
      </c>
    </row>
    <row r="19" spans="1:18" ht="12.75" customHeight="1" outlineLevel="4" x14ac:dyDescent="0.2">
      <c r="A19" s="62" t="s">
        <v>31</v>
      </c>
      <c r="B19" s="73">
        <f>SUM(B10:B18)</f>
        <v>69498.373999999982</v>
      </c>
      <c r="C19" s="63"/>
      <c r="D19" s="73">
        <f t="shared" ref="D19:P19" si="4">SUM(D10:D18)</f>
        <v>69611.561999999991</v>
      </c>
      <c r="E19" s="73">
        <f t="shared" si="4"/>
        <v>3592.2769999999828</v>
      </c>
      <c r="F19" s="73">
        <f t="shared" si="4"/>
        <v>9552.4930000000022</v>
      </c>
      <c r="G19" s="73">
        <f t="shared" si="4"/>
        <v>0</v>
      </c>
      <c r="H19" s="73">
        <f t="shared" si="4"/>
        <v>51.568999999999733</v>
      </c>
      <c r="I19" s="73">
        <f t="shared" si="4"/>
        <v>-1.0559999999999987</v>
      </c>
      <c r="J19" s="73">
        <f t="shared" si="4"/>
        <v>354.40399999999966</v>
      </c>
      <c r="K19" s="73">
        <f t="shared" si="4"/>
        <v>-39.664999999999992</v>
      </c>
      <c r="L19" s="73">
        <f t="shared" si="4"/>
        <v>1260.5239999999999</v>
      </c>
      <c r="M19" s="73">
        <f t="shared" si="4"/>
        <v>50236</v>
      </c>
      <c r="N19" s="73">
        <f t="shared" si="4"/>
        <v>51496.523999999998</v>
      </c>
      <c r="O19" s="73">
        <f t="shared" si="4"/>
        <v>4602.0150000000021</v>
      </c>
      <c r="P19" s="73">
        <f t="shared" si="4"/>
        <v>3.0009999999999994</v>
      </c>
      <c r="R19" s="73">
        <f>SUM(R10:R18)</f>
        <v>-113.1880000000001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29385</v>
      </c>
      <c r="C22" s="63"/>
      <c r="D22" s="68">
        <f t="shared" ref="D22:D30" si="6">SUM(E22:M22)+O22+P22</f>
        <v>29714</v>
      </c>
      <c r="E22" s="68">
        <f>AprYTD!E22-MarYTD!E22</f>
        <v>33043</v>
      </c>
      <c r="F22" s="68">
        <f>AprYTD!F22-MarYTD!F22</f>
        <v>-726</v>
      </c>
      <c r="G22" s="68">
        <f>AprYTD!G22-MarYTD!G22</f>
        <v>0</v>
      </c>
      <c r="H22" s="68">
        <f>AprYTD!H22-MarYTD!H22</f>
        <v>-64</v>
      </c>
      <c r="I22" s="68">
        <f>AprYTD!I22-MarYTD!I22</f>
        <v>3</v>
      </c>
      <c r="J22" s="68">
        <f>AprYTD!J22-MarYTD!J22</f>
        <v>-300</v>
      </c>
      <c r="K22" s="68">
        <f>AprYTD!K22-MarYTD!K22</f>
        <v>87</v>
      </c>
      <c r="L22" s="68">
        <f>AprYTD!L22-MarYTD!L22</f>
        <v>-14</v>
      </c>
      <c r="M22" s="68">
        <f>AprYTD!M22-MarYTD!M22</f>
        <v>0</v>
      </c>
      <c r="N22" s="68">
        <f t="shared" ref="N22:N30" si="7">M22+L22</f>
        <v>-14</v>
      </c>
      <c r="O22" s="68">
        <f>AprYTD!O22-MarYTD!O22</f>
        <v>-2354</v>
      </c>
      <c r="P22" s="68">
        <f>AprYTD!P22-MarYTD!P22</f>
        <v>39</v>
      </c>
      <c r="R22" s="68">
        <f>AprYTD!R22-MarYTD!R22</f>
        <v>-329</v>
      </c>
    </row>
    <row r="23" spans="1:18" ht="12.75" customHeight="1" outlineLevel="4" x14ac:dyDescent="0.2">
      <c r="A23" s="67" t="s">
        <v>20</v>
      </c>
      <c r="B23" s="63">
        <f t="shared" si="5"/>
        <v>-9379</v>
      </c>
      <c r="C23" s="63"/>
      <c r="D23" s="68">
        <f t="shared" si="6"/>
        <v>-9379</v>
      </c>
      <c r="E23" s="68">
        <f>AprYTD!E23-MarYTD!E23</f>
        <v>1421</v>
      </c>
      <c r="F23" s="68">
        <f>AprYTD!F23-MarYTD!F23</f>
        <v>-1577</v>
      </c>
      <c r="G23" s="68">
        <f>AprYTD!G23-MarYTD!G23</f>
        <v>0</v>
      </c>
      <c r="H23" s="68">
        <f>AprYTD!H23-MarYTD!H23</f>
        <v>0</v>
      </c>
      <c r="I23" s="68">
        <f>AprYTD!I23-MarYTD!I23</f>
        <v>-3</v>
      </c>
      <c r="J23" s="68">
        <f>AprYTD!J23-MarYTD!J23</f>
        <v>-1729</v>
      </c>
      <c r="K23" s="68">
        <f>AprYTD!K23-MarYTD!K23</f>
        <v>-112</v>
      </c>
      <c r="L23" s="68">
        <f>AprYTD!L23-MarYTD!L23</f>
        <v>-115</v>
      </c>
      <c r="M23" s="68">
        <f>AprYTD!M23-MarYTD!M23</f>
        <v>33</v>
      </c>
      <c r="N23" s="68">
        <f t="shared" si="7"/>
        <v>-82</v>
      </c>
      <c r="O23" s="68">
        <f>AprYTD!O23-MarYTD!O23</f>
        <v>-7332</v>
      </c>
      <c r="P23" s="68">
        <f>AprYTD!P23-MarYTD!P23</f>
        <v>35</v>
      </c>
      <c r="R23" s="68">
        <f>AprYTD!R23-MarYTD!R23</f>
        <v>0</v>
      </c>
    </row>
    <row r="24" spans="1:18" ht="12.75" customHeight="1" outlineLevel="4" x14ac:dyDescent="0.2">
      <c r="A24" s="67" t="s">
        <v>9</v>
      </c>
      <c r="B24" s="63">
        <f t="shared" si="5"/>
        <v>182</v>
      </c>
      <c r="C24" s="63"/>
      <c r="D24" s="68">
        <f t="shared" si="6"/>
        <v>182</v>
      </c>
      <c r="E24" s="68">
        <f>AprYTD!E24-MarYTD!E24</f>
        <v>9</v>
      </c>
      <c r="F24" s="68">
        <f>AprYTD!F24-MarYTD!F24</f>
        <v>0</v>
      </c>
      <c r="G24" s="68">
        <f>AprYTD!G24-MarYTD!G24</f>
        <v>0</v>
      </c>
      <c r="H24" s="68">
        <f>AprYTD!H24-MarYTD!H24</f>
        <v>0</v>
      </c>
      <c r="I24" s="68">
        <f>AprYTD!I24-MarYTD!I24</f>
        <v>0</v>
      </c>
      <c r="J24" s="68">
        <f>AprYTD!J24-MarYTD!J24</f>
        <v>0</v>
      </c>
      <c r="K24" s="68">
        <f>AprYTD!K24-MarYTD!K24</f>
        <v>0</v>
      </c>
      <c r="L24" s="68">
        <f>AprYTD!L24-MarYTD!L24</f>
        <v>173</v>
      </c>
      <c r="M24" s="68">
        <f>AprYTD!M24-MarYTD!M24</f>
        <v>0</v>
      </c>
      <c r="N24" s="68">
        <f t="shared" si="7"/>
        <v>173</v>
      </c>
      <c r="O24" s="68">
        <f>AprYTD!O24-MarYTD!O24</f>
        <v>0</v>
      </c>
      <c r="P24" s="68">
        <f>AprYTD!P24-MarYTD!P24</f>
        <v>0</v>
      </c>
      <c r="R24" s="68">
        <f>AprYTD!R24-MarYTD!R24</f>
        <v>0</v>
      </c>
    </row>
    <row r="25" spans="1:18" ht="12.75" customHeight="1" outlineLevel="4" x14ac:dyDescent="0.2">
      <c r="A25" s="67" t="s">
        <v>10</v>
      </c>
      <c r="B25" s="63">
        <f t="shared" si="5"/>
        <v>0</v>
      </c>
      <c r="C25" s="63"/>
      <c r="D25" s="68">
        <f t="shared" si="6"/>
        <v>0</v>
      </c>
      <c r="E25" s="68">
        <f>AprYTD!E25-MarYTD!E25</f>
        <v>0</v>
      </c>
      <c r="F25" s="68">
        <f>AprYTD!F25-MarYTD!F25</f>
        <v>0</v>
      </c>
      <c r="G25" s="68">
        <f>AprYTD!G25-MarYTD!G25</f>
        <v>0</v>
      </c>
      <c r="H25" s="68">
        <f>AprYTD!H25-MarYTD!H25</f>
        <v>0</v>
      </c>
      <c r="I25" s="68">
        <f>AprYTD!I25-MarYTD!I25</f>
        <v>0</v>
      </c>
      <c r="J25" s="68">
        <f>AprYTD!J25-MarYTD!J25</f>
        <v>0</v>
      </c>
      <c r="K25" s="68">
        <f>AprYTD!K25-MarYTD!K25</f>
        <v>0</v>
      </c>
      <c r="L25" s="68">
        <f>AprYTD!L25-MarYTD!L25</f>
        <v>0</v>
      </c>
      <c r="M25" s="68">
        <f>AprYTD!M25-MarYTD!M25</f>
        <v>0</v>
      </c>
      <c r="N25" s="68">
        <f t="shared" si="7"/>
        <v>0</v>
      </c>
      <c r="O25" s="68">
        <f>AprYTD!O25-MarYTD!O25</f>
        <v>0</v>
      </c>
      <c r="P25" s="68">
        <f>AprYTD!P25-MarYTD!P25</f>
        <v>0</v>
      </c>
      <c r="R25" s="68">
        <f>AprYTD!R25-MarYTD!R25</f>
        <v>0</v>
      </c>
    </row>
    <row r="26" spans="1:18" ht="12.75" customHeight="1" outlineLevel="4" x14ac:dyDescent="0.2">
      <c r="A26" s="67" t="s">
        <v>11</v>
      </c>
      <c r="B26" s="63">
        <f t="shared" si="5"/>
        <v>-1957</v>
      </c>
      <c r="C26" s="63"/>
      <c r="D26" s="68">
        <f t="shared" si="6"/>
        <v>-1964</v>
      </c>
      <c r="E26" s="68">
        <f>AprYTD!E26-MarYTD!E26</f>
        <v>-688</v>
      </c>
      <c r="F26" s="68">
        <f>AprYTD!F26-MarYTD!F26</f>
        <v>3256</v>
      </c>
      <c r="G26" s="68">
        <f>AprYTD!G26-MarYTD!G26</f>
        <v>0</v>
      </c>
      <c r="H26" s="68">
        <f>AprYTD!H26-MarYTD!H26</f>
        <v>420</v>
      </c>
      <c r="I26" s="68">
        <f>AprYTD!I26-MarYTD!I26</f>
        <v>0</v>
      </c>
      <c r="J26" s="68">
        <f>AprYTD!J26-MarYTD!J26</f>
        <v>-1042</v>
      </c>
      <c r="K26" s="68">
        <f>AprYTD!K26-MarYTD!K26</f>
        <v>-6</v>
      </c>
      <c r="L26" s="68">
        <f>AprYTD!L26-MarYTD!L26</f>
        <v>-36</v>
      </c>
      <c r="M26" s="68">
        <f>AprYTD!M26-MarYTD!M26</f>
        <v>0</v>
      </c>
      <c r="N26" s="68">
        <f t="shared" si="7"/>
        <v>-36</v>
      </c>
      <c r="O26" s="68">
        <f>AprYTD!O26-MarYTD!O26</f>
        <v>-3884</v>
      </c>
      <c r="P26" s="68">
        <f>AprYTD!P26-MarYTD!P26</f>
        <v>16</v>
      </c>
      <c r="R26" s="68">
        <f>AprYTD!R26-MarYTD!R26</f>
        <v>7</v>
      </c>
    </row>
    <row r="27" spans="1:18" ht="12.75" customHeight="1" outlineLevel="4" x14ac:dyDescent="0.2">
      <c r="A27" s="62" t="s">
        <v>12</v>
      </c>
      <c r="B27" s="63">
        <f t="shared" si="5"/>
        <v>-7247</v>
      </c>
      <c r="C27" s="63"/>
      <c r="D27" s="68">
        <f t="shared" si="6"/>
        <v>-7247</v>
      </c>
      <c r="E27" s="68">
        <f>AprYTD!E27-MarYTD!E27</f>
        <v>-7539</v>
      </c>
      <c r="F27" s="68">
        <f>AprYTD!F27-MarYTD!F27</f>
        <v>292</v>
      </c>
      <c r="G27" s="68">
        <f>AprYTD!G27-MarYTD!G27</f>
        <v>0</v>
      </c>
      <c r="H27" s="68">
        <f>AprYTD!H27-MarYTD!H27</f>
        <v>0</v>
      </c>
      <c r="I27" s="68">
        <f>AprYTD!I27-MarYTD!I27</f>
        <v>0</v>
      </c>
      <c r="J27" s="68">
        <f>AprYTD!J27-MarYTD!J27</f>
        <v>0</v>
      </c>
      <c r="K27" s="68">
        <f>AprYTD!K27-MarYTD!K27</f>
        <v>0</v>
      </c>
      <c r="L27" s="68">
        <f>AprYTD!L27-MarYTD!L27</f>
        <v>0</v>
      </c>
      <c r="M27" s="68">
        <f>AprYTD!M27-MarYTD!M27</f>
        <v>0</v>
      </c>
      <c r="N27" s="68">
        <f t="shared" si="7"/>
        <v>0</v>
      </c>
      <c r="O27" s="68">
        <f>AprYTD!O27-MarYTD!O27</f>
        <v>0</v>
      </c>
      <c r="P27" s="68">
        <f>AprYTD!P27-MarYTD!P27</f>
        <v>0</v>
      </c>
      <c r="R27" s="68">
        <f>AprYTD!R27-MarYTD!R27</f>
        <v>0</v>
      </c>
    </row>
    <row r="28" spans="1:18" ht="12.75" customHeight="1" outlineLevel="4" x14ac:dyDescent="0.2">
      <c r="A28" s="67" t="s">
        <v>13</v>
      </c>
      <c r="B28" s="63">
        <f t="shared" si="5"/>
        <v>-1996</v>
      </c>
      <c r="C28" s="63"/>
      <c r="D28" s="68">
        <f t="shared" si="6"/>
        <v>-2059</v>
      </c>
      <c r="E28" s="68">
        <f>AprYTD!E28-MarYTD!E28</f>
        <v>1761</v>
      </c>
      <c r="F28" s="68">
        <f>AprYTD!F28-MarYTD!F28</f>
        <v>-2526</v>
      </c>
      <c r="G28" s="68">
        <f>AprYTD!G28-MarYTD!G28</f>
        <v>0</v>
      </c>
      <c r="H28" s="68">
        <f>AprYTD!H28-MarYTD!H28</f>
        <v>1</v>
      </c>
      <c r="I28" s="68">
        <f>AprYTD!I28-MarYTD!I28</f>
        <v>0</v>
      </c>
      <c r="J28" s="68">
        <f>AprYTD!J28-MarYTD!J28</f>
        <v>0</v>
      </c>
      <c r="K28" s="68">
        <f>AprYTD!K28-MarYTD!K28</f>
        <v>1</v>
      </c>
      <c r="L28" s="68">
        <f>AprYTD!L28-MarYTD!L28</f>
        <v>-1262</v>
      </c>
      <c r="M28" s="68">
        <f>AprYTD!M28-MarYTD!M28</f>
        <v>-34</v>
      </c>
      <c r="N28" s="68">
        <f t="shared" si="7"/>
        <v>-1296</v>
      </c>
      <c r="O28" s="68">
        <f>AprYTD!O28-MarYTD!O28</f>
        <v>0</v>
      </c>
      <c r="P28" s="68">
        <f>AprYTD!P28-MarYTD!P28</f>
        <v>0</v>
      </c>
      <c r="R28" s="68">
        <f>AprYTD!R28-MarYTD!R28</f>
        <v>63</v>
      </c>
    </row>
    <row r="29" spans="1:18" ht="12.75" customHeight="1" outlineLevel="4" x14ac:dyDescent="0.2">
      <c r="A29" s="67" t="s">
        <v>14</v>
      </c>
      <c r="B29" s="63">
        <f t="shared" si="5"/>
        <v>4122</v>
      </c>
      <c r="C29" s="63"/>
      <c r="D29" s="68">
        <f t="shared" si="6"/>
        <v>4122</v>
      </c>
      <c r="E29" s="68">
        <f>AprYTD!E29-MarYTD!E29</f>
        <v>2875</v>
      </c>
      <c r="F29" s="68">
        <f>AprYTD!F29-MarYTD!F29</f>
        <v>1247</v>
      </c>
      <c r="G29" s="68">
        <f>AprYTD!G29-MarYTD!G29</f>
        <v>0</v>
      </c>
      <c r="H29" s="68">
        <f>AprYTD!H29-MarYTD!H29</f>
        <v>0</v>
      </c>
      <c r="I29" s="68">
        <f>AprYTD!I29-MarYTD!I29</f>
        <v>0</v>
      </c>
      <c r="J29" s="68">
        <f>AprYTD!J29-MarYTD!J29</f>
        <v>0</v>
      </c>
      <c r="K29" s="68">
        <f>AprYTD!K29-MarYTD!K29</f>
        <v>0</v>
      </c>
      <c r="L29" s="68">
        <f>AprYTD!L29-MarYTD!L29</f>
        <v>0</v>
      </c>
      <c r="M29" s="68">
        <f>AprYTD!M29-MarYTD!M29</f>
        <v>0</v>
      </c>
      <c r="N29" s="68">
        <f t="shared" si="7"/>
        <v>0</v>
      </c>
      <c r="O29" s="68">
        <f>AprYTD!O29-MarYTD!O29</f>
        <v>0</v>
      </c>
      <c r="P29" s="68">
        <f>AprYTD!P29-MarYTD!P29</f>
        <v>0</v>
      </c>
      <c r="R29" s="68">
        <f>AprYTD!R29-MarYTD!R29</f>
        <v>0</v>
      </c>
    </row>
    <row r="30" spans="1:18" ht="12.75" customHeight="1" outlineLevel="4" x14ac:dyDescent="0.2">
      <c r="A30" s="67" t="s">
        <v>30</v>
      </c>
      <c r="B30" s="69">
        <f t="shared" si="5"/>
        <v>2141</v>
      </c>
      <c r="C30" s="63"/>
      <c r="D30" s="68">
        <f t="shared" si="6"/>
        <v>2141</v>
      </c>
      <c r="E30" s="68">
        <f>AprYTD!E30-MarYTD!E30</f>
        <v>1518</v>
      </c>
      <c r="F30" s="68">
        <f>AprYTD!F30-MarYTD!F30</f>
        <v>176</v>
      </c>
      <c r="G30" s="68">
        <f>AprYTD!G30-MarYTD!G30</f>
        <v>0</v>
      </c>
      <c r="H30" s="68">
        <f>AprYTD!H30-MarYTD!H30</f>
        <v>187</v>
      </c>
      <c r="I30" s="68">
        <f>AprYTD!I30-MarYTD!I30</f>
        <v>0</v>
      </c>
      <c r="J30" s="68">
        <f>AprYTD!J30-MarYTD!J30</f>
        <v>0</v>
      </c>
      <c r="K30" s="68">
        <f>AprYTD!K30-MarYTD!K30</f>
        <v>-1</v>
      </c>
      <c r="L30" s="68">
        <f>AprYTD!L30-MarYTD!L30</f>
        <v>0</v>
      </c>
      <c r="M30" s="68">
        <f>AprYTD!M30-MarYTD!M30</f>
        <v>0</v>
      </c>
      <c r="N30" s="68">
        <f t="shared" si="7"/>
        <v>0</v>
      </c>
      <c r="O30" s="68">
        <f>AprYTD!O30-MarYTD!O30</f>
        <v>261</v>
      </c>
      <c r="P30" s="68">
        <f>AprYTD!P30-MarYTD!P30</f>
        <v>0</v>
      </c>
      <c r="R30" s="68">
        <f>AprYTD!R30-MarYTD!R30</f>
        <v>0</v>
      </c>
    </row>
    <row r="31" spans="1:18" ht="12.75" customHeight="1" outlineLevel="4" x14ac:dyDescent="0.2">
      <c r="A31" s="67" t="s">
        <v>33</v>
      </c>
      <c r="B31" s="84">
        <f>SUM(B21:B30)</f>
        <v>15251</v>
      </c>
      <c r="C31" s="74"/>
      <c r="D31" s="84">
        <f t="shared" ref="D31:P31" si="8">SUM(D21:D30)</f>
        <v>15510</v>
      </c>
      <c r="E31" s="84">
        <f t="shared" si="8"/>
        <v>32400</v>
      </c>
      <c r="F31" s="84">
        <f t="shared" si="8"/>
        <v>142</v>
      </c>
      <c r="G31" s="84">
        <f t="shared" si="8"/>
        <v>0</v>
      </c>
      <c r="H31" s="84">
        <f t="shared" si="8"/>
        <v>544</v>
      </c>
      <c r="I31" s="84">
        <f t="shared" si="8"/>
        <v>0</v>
      </c>
      <c r="J31" s="84">
        <f t="shared" si="8"/>
        <v>-3071</v>
      </c>
      <c r="K31" s="84">
        <f t="shared" si="8"/>
        <v>-31</v>
      </c>
      <c r="L31" s="84">
        <f t="shared" si="8"/>
        <v>-1254</v>
      </c>
      <c r="M31" s="84">
        <f t="shared" si="8"/>
        <v>-1</v>
      </c>
      <c r="N31" s="84">
        <f t="shared" si="8"/>
        <v>-1255</v>
      </c>
      <c r="O31" s="84">
        <f t="shared" si="8"/>
        <v>-13309</v>
      </c>
      <c r="P31" s="84">
        <f t="shared" si="8"/>
        <v>90</v>
      </c>
      <c r="R31" s="84">
        <f>SUM(R21:R30)</f>
        <v>-259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84749.373999999982</v>
      </c>
      <c r="C33" s="63"/>
      <c r="D33" s="75">
        <f>D19+D31</f>
        <v>85121.561999999991</v>
      </c>
      <c r="E33" s="75">
        <f>E19+E31</f>
        <v>35992.27699999998</v>
      </c>
      <c r="F33" s="75">
        <f t="shared" ref="F33:M33" si="9">F19+F31</f>
        <v>9694.4930000000022</v>
      </c>
      <c r="G33" s="75">
        <f t="shared" si="9"/>
        <v>0</v>
      </c>
      <c r="H33" s="75">
        <f t="shared" si="9"/>
        <v>595.56899999999973</v>
      </c>
      <c r="I33" s="75">
        <f t="shared" si="9"/>
        <v>-1.0559999999999987</v>
      </c>
      <c r="J33" s="75">
        <f t="shared" si="9"/>
        <v>-2716.5960000000005</v>
      </c>
      <c r="K33" s="75">
        <f t="shared" si="9"/>
        <v>-70.664999999999992</v>
      </c>
      <c r="L33" s="75">
        <f t="shared" si="9"/>
        <v>6.5239999999998872</v>
      </c>
      <c r="M33" s="75">
        <f t="shared" si="9"/>
        <v>50235</v>
      </c>
      <c r="N33" s="75">
        <f>N19+N31</f>
        <v>50241.523999999998</v>
      </c>
      <c r="O33" s="75">
        <f>O19+O31</f>
        <v>-8706.9849999999969</v>
      </c>
      <c r="P33" s="75">
        <f>P19+P31</f>
        <v>93.001000000000005</v>
      </c>
      <c r="R33" s="75">
        <f>R19+R31</f>
        <v>-372.1880000000001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204</v>
      </c>
      <c r="C36" s="63"/>
      <c r="D36" s="68">
        <f>SUM(E36:M36)+O36+P36</f>
        <v>204</v>
      </c>
      <c r="E36" s="68">
        <f>AprYTD!E36-MarYTD!E36</f>
        <v>204</v>
      </c>
      <c r="F36" s="68">
        <f>AprYTD!F36-MarYTD!F36</f>
        <v>0</v>
      </c>
      <c r="G36" s="68">
        <f>AprYTD!G36-MarYTD!G36</f>
        <v>0</v>
      </c>
      <c r="H36" s="68">
        <f>AprYTD!H36-MarYTD!H36</f>
        <v>0</v>
      </c>
      <c r="I36" s="68">
        <f>AprYTD!I36-MarYTD!I36</f>
        <v>0</v>
      </c>
      <c r="J36" s="68">
        <f>AprYTD!J36-MarYTD!J36</f>
        <v>0</v>
      </c>
      <c r="K36" s="68">
        <f>AprYTD!K36-MarYTD!K36</f>
        <v>0</v>
      </c>
      <c r="L36" s="68">
        <f>AprYTD!L36-MarYTD!L36</f>
        <v>0</v>
      </c>
      <c r="M36" s="68">
        <f>AprYTD!M36-MarYTD!M36</f>
        <v>0</v>
      </c>
      <c r="N36" s="76"/>
      <c r="O36" s="68">
        <f>AprYTD!O36-MarYTD!O36</f>
        <v>0</v>
      </c>
      <c r="P36" s="68">
        <f>AprYTD!P36-MarYTD!P36</f>
        <v>0</v>
      </c>
    </row>
    <row r="37" spans="1:18" ht="12.75" customHeight="1" outlineLevel="4" x14ac:dyDescent="0.2">
      <c r="A37" s="62" t="s">
        <v>17</v>
      </c>
      <c r="B37" s="63">
        <f t="shared" si="10"/>
        <v>-6670</v>
      </c>
      <c r="C37" s="63"/>
      <c r="D37" s="68">
        <f>SUM(E37:M37)+O37+P37</f>
        <v>-6670</v>
      </c>
      <c r="E37" s="68">
        <f>AprYTD!E37-MarYTD!E37</f>
        <v>-3028</v>
      </c>
      <c r="F37" s="68">
        <f>AprYTD!F37-MarYTD!F37</f>
        <v>-3642</v>
      </c>
      <c r="G37" s="68">
        <f>AprYTD!G37-MarYTD!G37</f>
        <v>0</v>
      </c>
      <c r="H37" s="68">
        <f>AprYTD!H37-MarYTD!H37</f>
        <v>0</v>
      </c>
      <c r="I37" s="68">
        <f>AprYTD!I37-MarYTD!I37</f>
        <v>0</v>
      </c>
      <c r="J37" s="68">
        <f>AprYTD!J37-MarYTD!J37</f>
        <v>0</v>
      </c>
      <c r="K37" s="68">
        <f>AprYTD!K37-MarYTD!K37</f>
        <v>0</v>
      </c>
      <c r="L37" s="68">
        <f>AprYTD!L37-MarYTD!L37</f>
        <v>0</v>
      </c>
      <c r="M37" s="68">
        <f>AprYTD!M37-MarYTD!M37</f>
        <v>0</v>
      </c>
      <c r="N37" s="68">
        <f>M37+L37</f>
        <v>0</v>
      </c>
      <c r="O37" s="68">
        <f>AprYTD!O37-MarYTD!O37</f>
        <v>0</v>
      </c>
      <c r="P37" s="68">
        <f>AprYTD!P37-MarYTD!P37</f>
        <v>0</v>
      </c>
    </row>
    <row r="38" spans="1:18" ht="12.75" customHeight="1" outlineLevel="4" x14ac:dyDescent="0.2">
      <c r="A38" s="62" t="s">
        <v>104</v>
      </c>
      <c r="B38" s="63">
        <f t="shared" si="10"/>
        <v>9080</v>
      </c>
      <c r="C38" s="63"/>
      <c r="D38" s="68">
        <f>SUM(E38:M38)+O38+P38</f>
        <v>9080</v>
      </c>
      <c r="E38" s="68">
        <f>AprYTD!E38-MarYTD!E38</f>
        <v>9127</v>
      </c>
      <c r="F38" s="68">
        <f>AprYTD!F38-MarYTD!F38</f>
        <v>-47</v>
      </c>
      <c r="G38" s="68">
        <f>AprYTD!G38-MarYTD!G38</f>
        <v>0</v>
      </c>
      <c r="H38" s="68">
        <f>AprYTD!H38-MarYTD!H38</f>
        <v>0</v>
      </c>
      <c r="I38" s="68">
        <f>AprYTD!I38-MarYTD!I38</f>
        <v>0</v>
      </c>
      <c r="J38" s="68">
        <f>AprYTD!J38-MarYTD!J38</f>
        <v>0</v>
      </c>
      <c r="K38" s="68">
        <f>AprYTD!K38-MarYTD!K38</f>
        <v>0</v>
      </c>
      <c r="L38" s="68">
        <f>AprYTD!L38-MarYTD!L38</f>
        <v>0</v>
      </c>
      <c r="M38" s="68">
        <f>AprYTD!M38-MarYTD!M38</f>
        <v>0</v>
      </c>
      <c r="N38" s="68">
        <f>M38+L38</f>
        <v>0</v>
      </c>
      <c r="O38" s="68">
        <f>AprYTD!O38-MarYTD!O38</f>
        <v>0</v>
      </c>
      <c r="P38" s="68">
        <f>AprYTD!P38-MarYTD!P38</f>
        <v>0</v>
      </c>
    </row>
    <row r="39" spans="1:18" ht="12.75" customHeight="1" outlineLevel="4" x14ac:dyDescent="0.2">
      <c r="A39" s="62" t="s">
        <v>113</v>
      </c>
      <c r="B39" s="63">
        <f t="shared" si="10"/>
        <v>28930</v>
      </c>
      <c r="C39" s="63"/>
      <c r="D39" s="68">
        <f>SUM(E39:P39)</f>
        <v>0</v>
      </c>
      <c r="E39" s="68">
        <f>AprYTD!E39-MarYTD!E39</f>
        <v>0</v>
      </c>
      <c r="F39" s="68">
        <f>AprYTD!F39-MarYTD!F39</f>
        <v>0</v>
      </c>
      <c r="G39" s="68">
        <f>AprYTD!G39-MarYTD!G39</f>
        <v>0</v>
      </c>
      <c r="H39" s="68">
        <f>AprYTD!H39-MarYTD!H39</f>
        <v>0</v>
      </c>
      <c r="I39" s="68">
        <f>AprYTD!I39-MarYTD!I39</f>
        <v>0</v>
      </c>
      <c r="J39" s="68">
        <f>AprYTD!J39-MarYTD!J39</f>
        <v>0</v>
      </c>
      <c r="K39" s="68">
        <f>AprYTD!K39-MarYTD!K39</f>
        <v>0</v>
      </c>
      <c r="L39" s="68">
        <f>AprYTD!L39-MarYTD!L39</f>
        <v>0</v>
      </c>
      <c r="M39" s="68">
        <f>AprYTD!M39-MarYTD!M39</f>
        <v>0</v>
      </c>
      <c r="N39" s="68">
        <f>M39+L39</f>
        <v>0</v>
      </c>
      <c r="O39" s="68">
        <f>AprYTD!O39-MarYTD!O39</f>
        <v>0</v>
      </c>
      <c r="P39" s="68">
        <f>AprYTD!P39-MarYTD!P39</f>
        <v>0</v>
      </c>
      <c r="R39" s="68">
        <f>AprYTD!R39-MarYTD!R39</f>
        <v>28930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AprYTD!E40-MarYTD!E40</f>
        <v>0</v>
      </c>
      <c r="F40" s="68">
        <f>AprYTD!F40-MarYTD!F40</f>
        <v>0</v>
      </c>
      <c r="G40" s="68">
        <f>AprYTD!G40-MarYTD!G40</f>
        <v>0</v>
      </c>
      <c r="H40" s="68">
        <f>AprYTD!H40-MarYTD!H40</f>
        <v>0</v>
      </c>
      <c r="I40" s="68">
        <f>AprYTD!I40-MarYTD!I40</f>
        <v>0</v>
      </c>
      <c r="J40" s="68">
        <f>AprYTD!J40-MarYTD!J40</f>
        <v>0</v>
      </c>
      <c r="K40" s="68">
        <f>AprYTD!K40-MarYTD!K40</f>
        <v>0</v>
      </c>
      <c r="L40" s="68">
        <f>AprYTD!L40-MarYTD!L40</f>
        <v>0</v>
      </c>
      <c r="M40" s="68">
        <f>AprYTD!M40-MarYTD!M40</f>
        <v>0</v>
      </c>
      <c r="N40" s="68">
        <f>M40+L40</f>
        <v>0</v>
      </c>
      <c r="O40" s="68">
        <f>AprYTD!O40-MarYTD!O40</f>
        <v>0</v>
      </c>
      <c r="P40" s="68">
        <f>AprYTD!P40-MarYTD!P40</f>
        <v>0</v>
      </c>
      <c r="R40" s="68">
        <f>AprYTD!R40-MarYTD!R40</f>
        <v>0</v>
      </c>
    </row>
    <row r="41" spans="1:18" ht="12.75" customHeight="1" outlineLevel="4" x14ac:dyDescent="0.2">
      <c r="A41" s="67" t="s">
        <v>41</v>
      </c>
      <c r="B41" s="69">
        <f t="shared" si="10"/>
        <v>8</v>
      </c>
      <c r="C41" s="63"/>
      <c r="D41" s="70">
        <f>SUM(E41:M41)+O41+P41</f>
        <v>8</v>
      </c>
      <c r="E41" s="70">
        <f>AprYTD!E41-MarYTD!E41</f>
        <v>8</v>
      </c>
      <c r="F41" s="70">
        <f>AprYTD!F41-MarYTD!F41</f>
        <v>0</v>
      </c>
      <c r="G41" s="70">
        <f>AprYTD!G41-MarYTD!G41</f>
        <v>0</v>
      </c>
      <c r="H41" s="70">
        <f>AprYTD!H41-MarYTD!H41</f>
        <v>0</v>
      </c>
      <c r="I41" s="70">
        <f>AprYTD!I41-MarYTD!I41</f>
        <v>0</v>
      </c>
      <c r="J41" s="70">
        <f>AprYTD!J41-MarYTD!J41</f>
        <v>0</v>
      </c>
      <c r="K41" s="70">
        <f>AprYTD!K41-MarYTD!K41</f>
        <v>0</v>
      </c>
      <c r="L41" s="70">
        <f>AprYTD!L41-MarYTD!L41</f>
        <v>0</v>
      </c>
      <c r="M41" s="70">
        <f>AprYTD!M41-MarYTD!M41</f>
        <v>0</v>
      </c>
      <c r="N41" s="70">
        <f>M41+L41</f>
        <v>0</v>
      </c>
      <c r="O41" s="70">
        <f>AprYTD!O41-MarYTD!O41</f>
        <v>0</v>
      </c>
      <c r="P41" s="70">
        <f>AprYTD!P41-MarYTD!P41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31552</v>
      </c>
      <c r="C42" s="77">
        <f t="shared" si="11"/>
        <v>0</v>
      </c>
      <c r="D42" s="75">
        <f t="shared" si="11"/>
        <v>2622</v>
      </c>
      <c r="E42" s="75">
        <f t="shared" si="11"/>
        <v>6311</v>
      </c>
      <c r="F42" s="75">
        <f t="shared" si="11"/>
        <v>-3689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28930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AprYTD!E45-MarYTD!E45</f>
        <v>0</v>
      </c>
      <c r="F45" s="68">
        <f>AprYTD!F45-MarYTD!F45</f>
        <v>0</v>
      </c>
      <c r="G45" s="68">
        <f>AprYTD!G45-MarYTD!G45</f>
        <v>0</v>
      </c>
      <c r="H45" s="68">
        <f>AprYTD!H45-MarYTD!H45</f>
        <v>0</v>
      </c>
      <c r="I45" s="68">
        <f>AprYTD!I45-MarYTD!I45</f>
        <v>0</v>
      </c>
      <c r="J45" s="68">
        <f>AprYTD!J45-MarYTD!J45</f>
        <v>0</v>
      </c>
      <c r="K45" s="68">
        <f>AprYTD!K45-MarYTD!K45</f>
        <v>0</v>
      </c>
      <c r="L45" s="68">
        <f>AprYTD!L45-MarYTD!L45</f>
        <v>0</v>
      </c>
      <c r="M45" s="68">
        <f>AprYTD!M45-MarYTD!M45</f>
        <v>0</v>
      </c>
      <c r="N45" s="68"/>
      <c r="O45" s="68">
        <f>AprYTD!O45-MarYTD!O45</f>
        <v>0</v>
      </c>
      <c r="P45" s="68">
        <f>AprYTD!P45-MarYTD!P45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AprYTD!E46-MarYTD!E46</f>
        <v>0</v>
      </c>
      <c r="F46" s="68">
        <f>AprYTD!F46-MarYTD!F46</f>
        <v>0</v>
      </c>
      <c r="G46" s="68">
        <f>AprYTD!G46-MarYTD!G46</f>
        <v>0</v>
      </c>
      <c r="H46" s="68">
        <f>AprYTD!H46-MarYTD!H46</f>
        <v>0</v>
      </c>
      <c r="I46" s="68">
        <f>AprYTD!I46-MarYTD!I46</f>
        <v>0</v>
      </c>
      <c r="J46" s="68">
        <f>AprYTD!J46-MarYTD!J46</f>
        <v>0</v>
      </c>
      <c r="K46" s="68">
        <f>AprYTD!K46-MarYTD!K46</f>
        <v>0</v>
      </c>
      <c r="L46" s="68">
        <f>AprYTD!L46-MarYTD!L46</f>
        <v>0</v>
      </c>
      <c r="M46" s="68">
        <f>AprYTD!M46-MarYTD!M46</f>
        <v>0</v>
      </c>
      <c r="N46" s="68"/>
      <c r="O46" s="68">
        <f>AprYTD!O46-MarYTD!O46</f>
        <v>0</v>
      </c>
      <c r="P46" s="68">
        <f>AprYTD!P46-MarYTD!P46</f>
        <v>0</v>
      </c>
    </row>
    <row r="47" spans="1:18" ht="12.75" customHeight="1" outlineLevel="4" x14ac:dyDescent="0.2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AprYTD!E47-MarYTD!E47</f>
        <v>0</v>
      </c>
      <c r="F47" s="68">
        <f>AprYTD!F47-MarYTD!F47</f>
        <v>0</v>
      </c>
      <c r="G47" s="68">
        <f>AprYTD!G47-MarYTD!G47</f>
        <v>0</v>
      </c>
      <c r="H47" s="68">
        <f>AprYTD!H47-MarYTD!H47</f>
        <v>0</v>
      </c>
      <c r="I47" s="68">
        <f>AprYTD!I47-MarYTD!I47</f>
        <v>0</v>
      </c>
      <c r="J47" s="68">
        <f>AprYTD!J47-MarYTD!J47</f>
        <v>0</v>
      </c>
      <c r="K47" s="68">
        <f>AprYTD!K47-MarYTD!K47</f>
        <v>0</v>
      </c>
      <c r="L47" s="68">
        <f>AprYTD!L47-MarYTD!L47</f>
        <v>0</v>
      </c>
      <c r="M47" s="68">
        <f>AprYTD!M47-MarYTD!M47</f>
        <v>0</v>
      </c>
      <c r="N47" s="68"/>
      <c r="O47" s="68">
        <f>AprYTD!O47-MarYTD!O47</f>
        <v>0</v>
      </c>
      <c r="P47" s="68">
        <f>AprYTD!P47-MarYTD!P47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AprYTD!E48-MarYTD!E48</f>
        <v>0</v>
      </c>
      <c r="F48" s="68">
        <f>AprYTD!F48-MarYTD!F48</f>
        <v>0</v>
      </c>
      <c r="G48" s="68">
        <f>AprYTD!G48-MarYTD!G48</f>
        <v>0</v>
      </c>
      <c r="H48" s="68">
        <f>AprYTD!H48-MarYTD!H48</f>
        <v>0</v>
      </c>
      <c r="I48" s="68">
        <f>AprYTD!I48-MarYTD!I48</f>
        <v>0</v>
      </c>
      <c r="J48" s="68">
        <f>AprYTD!J48-MarYTD!J48</f>
        <v>0</v>
      </c>
      <c r="K48" s="68">
        <f>AprYTD!K48-MarYTD!K48</f>
        <v>0</v>
      </c>
      <c r="L48" s="68">
        <f>AprYTD!L48-MarYTD!L48</f>
        <v>0</v>
      </c>
      <c r="M48" s="68">
        <f>AprYTD!M48-MarYTD!M48</f>
        <v>0</v>
      </c>
      <c r="N48" s="68"/>
      <c r="O48" s="68">
        <f>AprYTD!O48-MarYTD!O48</f>
        <v>0</v>
      </c>
      <c r="P48" s="68">
        <f>AprYTD!P48-MarYTD!P48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AprYTD!E49-MarYTD!E49</f>
        <v>0</v>
      </c>
      <c r="F49" s="68">
        <f>AprYTD!F49-MarYTD!F49</f>
        <v>0</v>
      </c>
      <c r="G49" s="68">
        <f>AprYTD!G49-MarYTD!G49</f>
        <v>0</v>
      </c>
      <c r="H49" s="68">
        <f>AprYTD!H49-MarYTD!H49</f>
        <v>0</v>
      </c>
      <c r="I49" s="68">
        <f>AprYTD!I49-MarYTD!I49</f>
        <v>0</v>
      </c>
      <c r="J49" s="68">
        <f>AprYTD!J49-MarYTD!J49</f>
        <v>0</v>
      </c>
      <c r="K49" s="68">
        <f>AprYTD!K49-MarYTD!K49</f>
        <v>0</v>
      </c>
      <c r="L49" s="68">
        <f>AprYTD!L49-MarYTD!L49</f>
        <v>0</v>
      </c>
      <c r="M49" s="68">
        <f>AprYTD!M49-MarYTD!M49</f>
        <v>0</v>
      </c>
      <c r="N49" s="72"/>
      <c r="O49" s="68">
        <f>AprYTD!O49-MarYTD!O49</f>
        <v>0</v>
      </c>
      <c r="P49" s="68">
        <f>AprYTD!P49-MarYTD!P49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116301.37399999998</v>
      </c>
      <c r="C52" s="63"/>
      <c r="D52" s="77">
        <f t="shared" ref="D52:M52" si="13">D33+D42+D50</f>
        <v>87743.561999999991</v>
      </c>
      <c r="E52" s="77">
        <f t="shared" si="13"/>
        <v>42303.27699999998</v>
      </c>
      <c r="F52" s="77">
        <f t="shared" si="13"/>
        <v>6005.4930000000022</v>
      </c>
      <c r="G52" s="77">
        <f t="shared" si="13"/>
        <v>0</v>
      </c>
      <c r="H52" s="77">
        <f t="shared" si="13"/>
        <v>595.56899999999973</v>
      </c>
      <c r="I52" s="77">
        <f t="shared" si="13"/>
        <v>-1.0559999999999987</v>
      </c>
      <c r="J52" s="77">
        <f t="shared" si="13"/>
        <v>-2716.5960000000005</v>
      </c>
      <c r="K52" s="77">
        <f t="shared" si="13"/>
        <v>-70.664999999999992</v>
      </c>
      <c r="L52" s="77">
        <f t="shared" si="13"/>
        <v>6.5239999999998872</v>
      </c>
      <c r="M52" s="77">
        <f t="shared" si="13"/>
        <v>50235</v>
      </c>
      <c r="N52" s="77">
        <f>M52+L52</f>
        <v>50241.523999999998</v>
      </c>
      <c r="O52" s="77">
        <f>O33+O42+O50</f>
        <v>-8706.9849999999969</v>
      </c>
      <c r="P52" s="77">
        <f>P33+P42+P50</f>
        <v>93.001000000000005</v>
      </c>
      <c r="R52" s="77">
        <f>R33+R42+R50</f>
        <v>28557.811999999998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-147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AprYTD!P54-MarYTD!P54</f>
        <v>0</v>
      </c>
      <c r="R54" s="70">
        <f>AprYTD!R54-MarYTD!R54</f>
        <v>-147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116154.37399999998</v>
      </c>
      <c r="C56" s="63"/>
      <c r="D56" s="81">
        <f t="shared" ref="D56:P56" si="14">D54+D52</f>
        <v>87743.561999999991</v>
      </c>
      <c r="E56" s="81">
        <f t="shared" si="14"/>
        <v>42303.27699999998</v>
      </c>
      <c r="F56" s="81">
        <f t="shared" si="14"/>
        <v>6005.4930000000022</v>
      </c>
      <c r="G56" s="81">
        <f t="shared" si="14"/>
        <v>0</v>
      </c>
      <c r="H56" s="81">
        <f t="shared" si="14"/>
        <v>595.56899999999973</v>
      </c>
      <c r="I56" s="81">
        <f t="shared" si="14"/>
        <v>-1.0559999999999987</v>
      </c>
      <c r="J56" s="81">
        <f t="shared" si="14"/>
        <v>-2716.5960000000005</v>
      </c>
      <c r="K56" s="81">
        <f t="shared" si="14"/>
        <v>-70.664999999999992</v>
      </c>
      <c r="L56" s="81">
        <f t="shared" si="14"/>
        <v>6.5239999999998872</v>
      </c>
      <c r="M56" s="81">
        <f t="shared" si="14"/>
        <v>50235</v>
      </c>
      <c r="N56" s="81">
        <f t="shared" si="14"/>
        <v>50241.523999999998</v>
      </c>
      <c r="O56" s="81">
        <f t="shared" si="14"/>
        <v>-8706.9849999999969</v>
      </c>
      <c r="P56" s="81">
        <f t="shared" si="14"/>
        <v>93.001000000000005</v>
      </c>
      <c r="R56" s="81">
        <f>R54+R52</f>
        <v>28410.811999999998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AprYTD!E58-MarYTD!E58</f>
        <v>-6</v>
      </c>
      <c r="F58" s="70">
        <f>AprYTD!F58-MarYTD!F58</f>
        <v>0</v>
      </c>
      <c r="G58" s="70">
        <f>AprYTD!G58-MarYTD!G58</f>
        <v>0</v>
      </c>
      <c r="H58" s="70">
        <f>AprYTD!H58-MarYTD!H58</f>
        <v>0</v>
      </c>
      <c r="I58" s="70">
        <f>AprYTD!I58-MarYTD!I58</f>
        <v>0</v>
      </c>
      <c r="J58" s="70">
        <f>AprYTD!J58-MarYTD!J58</f>
        <v>227</v>
      </c>
      <c r="K58" s="70">
        <f>AprYTD!K58-MarYTD!K58</f>
        <v>-227</v>
      </c>
      <c r="L58" s="70">
        <f>AprYTD!L58-MarYTD!L58</f>
        <v>0</v>
      </c>
      <c r="M58" s="70">
        <f>AprYTD!M58-MarYTD!M58</f>
        <v>0</v>
      </c>
      <c r="N58" s="80"/>
      <c r="O58" s="70">
        <f>AprYTD!O58-MarYTD!O58</f>
        <v>0</v>
      </c>
      <c r="P58" s="70">
        <f>AprYTD!P58-MarYTD!P58</f>
        <v>0</v>
      </c>
      <c r="R58" s="55"/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116148.37399999998</v>
      </c>
      <c r="C60" s="46"/>
      <c r="D60" s="81">
        <f>D56+D58</f>
        <v>87737.561999999991</v>
      </c>
      <c r="E60" s="81">
        <f>E56+E58</f>
        <v>42297.27699999998</v>
      </c>
      <c r="F60" s="81">
        <f t="shared" ref="F60:M60" si="15">F56+F58</f>
        <v>6005.4930000000022</v>
      </c>
      <c r="G60" s="81">
        <f t="shared" si="15"/>
        <v>0</v>
      </c>
      <c r="H60" s="81">
        <f t="shared" si="15"/>
        <v>595.56899999999973</v>
      </c>
      <c r="I60" s="81">
        <f t="shared" si="15"/>
        <v>-1.0559999999999987</v>
      </c>
      <c r="J60" s="81">
        <f t="shared" si="15"/>
        <v>-2489.5960000000005</v>
      </c>
      <c r="K60" s="81">
        <f t="shared" si="15"/>
        <v>-297.66499999999996</v>
      </c>
      <c r="L60" s="81">
        <f t="shared" si="15"/>
        <v>6.5239999999998872</v>
      </c>
      <c r="M60" s="81">
        <f t="shared" si="15"/>
        <v>50235</v>
      </c>
      <c r="N60" s="81">
        <f>M60+L60</f>
        <v>50241.523999999998</v>
      </c>
      <c r="O60" s="81">
        <f>O56+O58</f>
        <v>-8706.9849999999969</v>
      </c>
      <c r="P60" s="81">
        <f>P56+P58</f>
        <v>93.001000000000005</v>
      </c>
      <c r="R60" s="81">
        <f>R56+R58</f>
        <v>28410.811999999998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5000000000000004" bottom="0.5" header="0.5" footer="0.5"/>
  <pageSetup scale="69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C1" workbookViewId="0">
      <selection activeCell="R28" sqref="R28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111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98554.033999999985</v>
      </c>
      <c r="C8" s="63"/>
      <c r="D8" s="68">
        <f>SUM(E8:M8)+O8+P8</f>
        <v>99362.054999999978</v>
      </c>
      <c r="E8" s="68">
        <f>'[8]04YTD'!J$65</f>
        <v>64042.15199999998</v>
      </c>
      <c r="F8" s="68">
        <f>'[8]04YTD'!K$65</f>
        <v>18401.785000000003</v>
      </c>
      <c r="G8" s="68">
        <f>'[8]04YTD'!L$65</f>
        <v>11728.146000000001</v>
      </c>
      <c r="H8" s="68">
        <f>'[8]04YTD'!M$65</f>
        <v>1113.874</v>
      </c>
      <c r="I8" s="68">
        <f>'[8]04YTD'!N$65</f>
        <v>-0.34100000000000086</v>
      </c>
      <c r="J8" s="68">
        <f>'[8]04YTD'!O$65</f>
        <v>117.78299999999963</v>
      </c>
      <c r="K8" s="68">
        <f>'[8]04YTD'!P$65</f>
        <v>83.776999999999958</v>
      </c>
      <c r="L8" s="68">
        <f>'[8]04YTD'!Q$65</f>
        <v>-10.917999999999999</v>
      </c>
      <c r="M8" s="68">
        <f>'[8]04YTD'!R$65</f>
        <v>0</v>
      </c>
      <c r="N8" s="68">
        <f>M8+L8</f>
        <v>-10.917999999999999</v>
      </c>
      <c r="O8" s="68">
        <f>'[8]04YTD'!$U$65</f>
        <v>3885.7970000000005</v>
      </c>
      <c r="P8" s="68">
        <f>'[8]04YTD'!V$65</f>
        <v>0</v>
      </c>
      <c r="R8" s="68">
        <f>[9]APR_YTD!$H8</f>
        <v>-808.02100000000007</v>
      </c>
    </row>
    <row r="9" spans="1:18" ht="12.75" customHeight="1" outlineLevel="4" x14ac:dyDescent="0.2">
      <c r="A9" s="62" t="s">
        <v>29</v>
      </c>
      <c r="B9" s="69">
        <f>D9+R9</f>
        <v>9365.8060000000005</v>
      </c>
      <c r="C9" s="63"/>
      <c r="D9" s="70">
        <f>SUM(E9:M9)+O9+P9</f>
        <v>9365.8060000000005</v>
      </c>
      <c r="E9" s="70">
        <f>'[8]04YTD'!J$72*-1</f>
        <v>-4838.6580000000004</v>
      </c>
      <c r="F9" s="70">
        <f>'[8]04YTD'!K$72*-1</f>
        <v>223.81999999999982</v>
      </c>
      <c r="G9" s="70">
        <f>'[8]04YTD'!L$72*-1</f>
        <v>0</v>
      </c>
      <c r="H9" s="70">
        <f>'[8]04YTD'!M$72*-1</f>
        <v>1170.626</v>
      </c>
      <c r="I9" s="70">
        <f>'[8]04YTD'!N$72*-1</f>
        <v>0</v>
      </c>
      <c r="J9" s="70">
        <f>'[8]04YTD'!O$72*-1</f>
        <v>108.46799999999999</v>
      </c>
      <c r="K9" s="70">
        <f>'[8]04YTD'!P$72*-1</f>
        <v>0</v>
      </c>
      <c r="L9" s="70">
        <f>'[8]04YTD'!Q$72*-1</f>
        <v>0</v>
      </c>
      <c r="M9" s="70">
        <f>'[8]04YTD'!R$72*-1</f>
        <v>0</v>
      </c>
      <c r="N9" s="70">
        <f>M9+L9</f>
        <v>0</v>
      </c>
      <c r="O9" s="70">
        <f>'[8]04YTD'!U$72*-1</f>
        <v>12701.550000000001</v>
      </c>
      <c r="P9" s="70">
        <f>'[8]04YTD'!V$72*-1</f>
        <v>0</v>
      </c>
      <c r="R9" s="70">
        <f>'[8]04YTD'!X$72*-1</f>
        <v>0</v>
      </c>
    </row>
    <row r="10" spans="1:18" ht="12.75" customHeight="1" outlineLevel="4" x14ac:dyDescent="0.2">
      <c r="A10" s="67" t="s">
        <v>49</v>
      </c>
      <c r="B10" s="71">
        <f>B8+B9</f>
        <v>107919.83999999998</v>
      </c>
      <c r="C10" s="63"/>
      <c r="D10" s="71">
        <f>D8+D9</f>
        <v>108727.86099999998</v>
      </c>
      <c r="E10" s="71">
        <f>E8+E9</f>
        <v>59203.493999999977</v>
      </c>
      <c r="F10" s="71">
        <f t="shared" ref="F10:R10" si="0">F8+F9</f>
        <v>18625.605000000003</v>
      </c>
      <c r="G10" s="71">
        <f t="shared" si="0"/>
        <v>11728.146000000001</v>
      </c>
      <c r="H10" s="71">
        <f t="shared" si="0"/>
        <v>2284.5</v>
      </c>
      <c r="I10" s="71">
        <f t="shared" si="0"/>
        <v>-0.34100000000000086</v>
      </c>
      <c r="J10" s="71">
        <f t="shared" si="0"/>
        <v>226.25099999999964</v>
      </c>
      <c r="K10" s="71">
        <f t="shared" si="0"/>
        <v>83.776999999999958</v>
      </c>
      <c r="L10" s="71">
        <f t="shared" si="0"/>
        <v>-10.917999999999999</v>
      </c>
      <c r="M10" s="71">
        <f t="shared" si="0"/>
        <v>0</v>
      </c>
      <c r="N10" s="71">
        <f>N8</f>
        <v>-10.917999999999999</v>
      </c>
      <c r="O10" s="71">
        <f t="shared" si="0"/>
        <v>16587.347000000002</v>
      </c>
      <c r="P10" s="71">
        <f t="shared" si="0"/>
        <v>0</v>
      </c>
      <c r="R10" s="71">
        <f t="shared" si="0"/>
        <v>-808.02100000000007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21480.287</v>
      </c>
      <c r="C12" s="63"/>
      <c r="D12" s="68">
        <f t="shared" ref="D12:D18" si="1">SUM(E12:M12)+O12+P12</f>
        <v>21480.287</v>
      </c>
      <c r="E12" s="68">
        <f>'[8]04YTD'!J$36</f>
        <v>15000.940999999999</v>
      </c>
      <c r="F12" s="68">
        <f>'[8]04YTD'!K$36</f>
        <v>6457.0349999999999</v>
      </c>
      <c r="G12" s="68">
        <f>'[8]04YTD'!L$36</f>
        <v>0</v>
      </c>
      <c r="H12" s="68">
        <f>'[8]04YTD'!M$36</f>
        <v>0</v>
      </c>
      <c r="I12" s="68">
        <f>'[8]04YTD'!N$36</f>
        <v>0</v>
      </c>
      <c r="J12" s="68">
        <f>'[8]04YTD'!O$36</f>
        <v>0</v>
      </c>
      <c r="K12" s="68">
        <f>'[8]04YTD'!P$36</f>
        <v>0</v>
      </c>
      <c r="L12" s="68">
        <f>'[8]04YTD'!Q$36</f>
        <v>22.311</v>
      </c>
      <c r="M12" s="68">
        <f>'[8]04YTD'!R$36</f>
        <v>0</v>
      </c>
      <c r="N12" s="68">
        <f>M12+L12</f>
        <v>22.311</v>
      </c>
      <c r="O12" s="68">
        <f>'[8]04YTD'!U$36</f>
        <v>0</v>
      </c>
      <c r="P12" s="68">
        <f>'[8]04YTD'!V$36</f>
        <v>0</v>
      </c>
      <c r="R12" s="68">
        <f>[9]APR_YTD!$H11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7399.6050000000014</v>
      </c>
      <c r="C13" s="63"/>
      <c r="D13" s="68">
        <f t="shared" si="1"/>
        <v>7379.353000000001</v>
      </c>
      <c r="E13" s="68">
        <f>'[8]04YTD'!J$62</f>
        <v>6678.4130000000005</v>
      </c>
      <c r="F13" s="68">
        <f>'[8]04YTD'!K$62</f>
        <v>474.06500000000005</v>
      </c>
      <c r="G13" s="68">
        <f>'[8]04YTD'!L$62</f>
        <v>0</v>
      </c>
      <c r="H13" s="68">
        <f>'[8]04YTD'!M$62</f>
        <v>217.47800000000001</v>
      </c>
      <c r="I13" s="68">
        <f>'[8]04YTD'!N$62</f>
        <v>0</v>
      </c>
      <c r="J13" s="68">
        <f>'[8]04YTD'!O$62</f>
        <v>0</v>
      </c>
      <c r="K13" s="68">
        <f>'[8]04YTD'!P$62</f>
        <v>-2.4280000000000004</v>
      </c>
      <c r="L13" s="68">
        <f>'[8]04YTD'!Q$62</f>
        <v>11.824999999999999</v>
      </c>
      <c r="M13" s="68">
        <f>'[8]04YTD'!R$62</f>
        <v>0</v>
      </c>
      <c r="N13" s="68">
        <f>M13+L13</f>
        <v>11.824999999999999</v>
      </c>
      <c r="O13" s="68">
        <f>'[8]04YTD'!U$62</f>
        <v>0</v>
      </c>
      <c r="P13" s="68">
        <f>'[8]04YTD'!V$62</f>
        <v>0</v>
      </c>
      <c r="R13" s="68">
        <f>[9]APR_YTD!$H12</f>
        <v>20.251999999999999</v>
      </c>
    </row>
    <row r="14" spans="1:18" ht="12.75" customHeight="1" outlineLevel="4" x14ac:dyDescent="0.2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'[8]04YTD'!$J$46*-1</f>
        <v>6.6150000000000002</v>
      </c>
      <c r="F14" s="68">
        <f>'[8]04YTD'!K$46*-1</f>
        <v>2E-3</v>
      </c>
      <c r="G14" s="68">
        <f>'[8]04YTD'!L$46*-1</f>
        <v>0</v>
      </c>
      <c r="H14" s="68">
        <f>'[8]04YTD'!M$46*-1</f>
        <v>0</v>
      </c>
      <c r="I14" s="68">
        <f>'[8]04YTD'!N$46*-1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>
        <f>[9]APR_YTD!$H14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-13558.802000000001</v>
      </c>
      <c r="C16" s="63"/>
      <c r="D16" s="68">
        <f t="shared" si="1"/>
        <v>-15158.621000000001</v>
      </c>
      <c r="E16" s="68">
        <f>'[8]04YTD'!J$43*-1</f>
        <v>-1156.876</v>
      </c>
      <c r="F16" s="68">
        <f>'[8]04YTD'!K$43*-1</f>
        <v>0</v>
      </c>
      <c r="G16" s="68">
        <f>'[8]04YTD'!L$43*-1</f>
        <v>-11728.146000000001</v>
      </c>
      <c r="H16" s="68">
        <f>'[8]04YTD'!M$43*-1</f>
        <v>-2273.5990000000002</v>
      </c>
      <c r="I16" s="68">
        <f>'[8]04YTD'!N$43*-1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'[8]04YTD'!U$43*-1</f>
        <v>0</v>
      </c>
      <c r="P16" s="68">
        <f>'[8]04YTD'!V$43*-1</f>
        <v>0</v>
      </c>
      <c r="R16" s="68">
        <f>[9]APR_YTD!$H15</f>
        <v>1599.819</v>
      </c>
    </row>
    <row r="17" spans="1:18" ht="12.75" customHeight="1" outlineLevel="4" x14ac:dyDescent="0.2">
      <c r="A17" s="67" t="s">
        <v>39</v>
      </c>
      <c r="B17" s="63">
        <f t="shared" si="2"/>
        <v>3315</v>
      </c>
      <c r="C17" s="63"/>
      <c r="D17" s="68">
        <f t="shared" si="1"/>
        <v>1649</v>
      </c>
      <c r="E17" s="72">
        <v>833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[9]APR_YTD!$H16</f>
        <v>1666</v>
      </c>
    </row>
    <row r="18" spans="1:18" ht="12.75" customHeight="1" outlineLevel="4" x14ac:dyDescent="0.2">
      <c r="A18" s="67" t="s">
        <v>32</v>
      </c>
      <c r="B18" s="69">
        <f t="shared" si="2"/>
        <v>-6664</v>
      </c>
      <c r="C18" s="63"/>
      <c r="D18" s="68">
        <f t="shared" si="1"/>
        <v>-6821</v>
      </c>
      <c r="E18" s="70">
        <f>-3214-4913-3</f>
        <v>-8130</v>
      </c>
      <c r="F18" s="70">
        <f>430+1850+1780</f>
        <v>4060</v>
      </c>
      <c r="G18" s="70">
        <v>0</v>
      </c>
      <c r="H18" s="70"/>
      <c r="I18" s="70"/>
      <c r="J18" s="70">
        <v>4</v>
      </c>
      <c r="K18" s="70">
        <v>-1</v>
      </c>
      <c r="L18" s="70">
        <v>1137</v>
      </c>
      <c r="M18" s="70"/>
      <c r="N18" s="68">
        <f>M18+L18</f>
        <v>1137</v>
      </c>
      <c r="O18" s="70">
        <v>-3852</v>
      </c>
      <c r="P18" s="70">
        <v>-39</v>
      </c>
      <c r="R18" s="68">
        <f>[9]APR_YTD!$H17</f>
        <v>157</v>
      </c>
    </row>
    <row r="19" spans="1:18" ht="12.75" customHeight="1" outlineLevel="4" x14ac:dyDescent="0.2">
      <c r="A19" s="62" t="s">
        <v>31</v>
      </c>
      <c r="B19" s="73">
        <f>SUM(B10:B18)</f>
        <v>119898.54699999999</v>
      </c>
      <c r="C19" s="63"/>
      <c r="D19" s="73">
        <f>SUM(D10:D18)</f>
        <v>117263.49699999996</v>
      </c>
      <c r="E19" s="73">
        <f>SUM(E10:E18)</f>
        <v>72435.58699999997</v>
      </c>
      <c r="F19" s="73">
        <f t="shared" ref="F19:R19" si="3">SUM(F10:F18)</f>
        <v>29616.707000000002</v>
      </c>
      <c r="G19" s="73">
        <f t="shared" si="3"/>
        <v>0</v>
      </c>
      <c r="H19" s="73">
        <f t="shared" si="3"/>
        <v>1044.3789999999999</v>
      </c>
      <c r="I19" s="73">
        <f t="shared" si="3"/>
        <v>-0.34100000000000086</v>
      </c>
      <c r="J19" s="73">
        <f t="shared" si="3"/>
        <v>230.25099999999964</v>
      </c>
      <c r="K19" s="73">
        <f t="shared" si="3"/>
        <v>80.348999999999961</v>
      </c>
      <c r="L19" s="73">
        <f t="shared" si="3"/>
        <v>1160.2180000000001</v>
      </c>
      <c r="M19" s="73">
        <f t="shared" si="3"/>
        <v>0</v>
      </c>
      <c r="N19" s="73">
        <f t="shared" si="3"/>
        <v>1160.2180000000001</v>
      </c>
      <c r="O19" s="73">
        <f t="shared" si="3"/>
        <v>12735.347000000002</v>
      </c>
      <c r="P19" s="73">
        <f t="shared" si="3"/>
        <v>-39</v>
      </c>
      <c r="R19" s="73">
        <f t="shared" si="3"/>
        <v>2635.0499999999997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29553</v>
      </c>
      <c r="C22" s="63"/>
      <c r="D22" s="68">
        <f t="shared" ref="D22:D30" si="5">SUM(E22:M22)+O22+P22</f>
        <v>26625</v>
      </c>
      <c r="E22" s="68">
        <v>30958</v>
      </c>
      <c r="F22" s="68">
        <v>-466</v>
      </c>
      <c r="G22" s="68"/>
      <c r="H22" s="68">
        <v>-102</v>
      </c>
      <c r="I22" s="68">
        <v>10</v>
      </c>
      <c r="J22" s="68">
        <v>-644</v>
      </c>
      <c r="K22" s="68">
        <v>250</v>
      </c>
      <c r="L22" s="68">
        <v>26</v>
      </c>
      <c r="M22" s="68"/>
      <c r="N22" s="68"/>
      <c r="O22" s="68">
        <v>-3384</v>
      </c>
      <c r="P22" s="68">
        <v>-23</v>
      </c>
      <c r="R22" s="68">
        <f>[9]APR_YTD!$H20</f>
        <v>2928</v>
      </c>
    </row>
    <row r="23" spans="1:18" ht="12.75" customHeight="1" outlineLevel="4" x14ac:dyDescent="0.2">
      <c r="A23" s="67" t="s">
        <v>20</v>
      </c>
      <c r="B23" s="63">
        <f t="shared" si="4"/>
        <v>521</v>
      </c>
      <c r="C23" s="63"/>
      <c r="D23" s="68">
        <f t="shared" si="5"/>
        <v>521</v>
      </c>
      <c r="E23" s="68">
        <v>181</v>
      </c>
      <c r="F23" s="68">
        <v>-4884</v>
      </c>
      <c r="G23" s="68"/>
      <c r="H23" s="68"/>
      <c r="I23" s="68">
        <v>-10</v>
      </c>
      <c r="J23" s="68">
        <v>1558</v>
      </c>
      <c r="K23" s="68">
        <v>-601</v>
      </c>
      <c r="L23" s="68">
        <v>28</v>
      </c>
      <c r="M23" s="68"/>
      <c r="N23" s="68">
        <f t="shared" ref="N23:N30" si="6">M23+L23</f>
        <v>28</v>
      </c>
      <c r="O23" s="68">
        <v>4065</v>
      </c>
      <c r="P23" s="68">
        <v>184</v>
      </c>
      <c r="R23" s="68">
        <f>[9]APR_YTD!$H21</f>
        <v>0</v>
      </c>
    </row>
    <row r="24" spans="1:18" ht="12.75" customHeight="1" outlineLevel="4" x14ac:dyDescent="0.2">
      <c r="A24" s="67" t="s">
        <v>9</v>
      </c>
      <c r="B24" s="63">
        <f t="shared" si="4"/>
        <v>313</v>
      </c>
      <c r="C24" s="63"/>
      <c r="D24" s="68">
        <f t="shared" si="5"/>
        <v>313</v>
      </c>
      <c r="E24" s="68">
        <v>25</v>
      </c>
      <c r="F24" s="68">
        <v>115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[9]APR_YTD!$H22</f>
        <v>0</v>
      </c>
    </row>
    <row r="25" spans="1:18" ht="12.75" customHeight="1" outlineLevel="4" x14ac:dyDescent="0.2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[9]APR_YTD!$H23</f>
        <v>0</v>
      </c>
    </row>
    <row r="26" spans="1:18" ht="12.75" customHeight="1" outlineLevel="4" x14ac:dyDescent="0.2">
      <c r="A26" s="67" t="s">
        <v>11</v>
      </c>
      <c r="B26" s="63">
        <f t="shared" si="4"/>
        <v>-18755</v>
      </c>
      <c r="C26" s="63"/>
      <c r="D26" s="68">
        <f t="shared" si="5"/>
        <v>-18754</v>
      </c>
      <c r="E26" s="68">
        <v>-12883</v>
      </c>
      <c r="F26" s="68">
        <v>1035</v>
      </c>
      <c r="G26" s="68"/>
      <c r="H26" s="68">
        <v>-92</v>
      </c>
      <c r="I26" s="68"/>
      <c r="J26" s="68">
        <v>-1138</v>
      </c>
      <c r="K26" s="68">
        <v>-2</v>
      </c>
      <c r="L26" s="68">
        <v>-110</v>
      </c>
      <c r="M26" s="68"/>
      <c r="N26" s="68">
        <f t="shared" si="6"/>
        <v>-110</v>
      </c>
      <c r="O26" s="68">
        <v>-5476</v>
      </c>
      <c r="P26" s="68">
        <v>-88</v>
      </c>
      <c r="R26" s="68">
        <f>[9]APR_YTD!$H25</f>
        <v>-1</v>
      </c>
    </row>
    <row r="27" spans="1:18" ht="12.75" customHeight="1" outlineLevel="4" x14ac:dyDescent="0.2">
      <c r="A27" s="62" t="s">
        <v>12</v>
      </c>
      <c r="B27" s="63">
        <f t="shared" si="4"/>
        <v>-3725</v>
      </c>
      <c r="C27" s="63"/>
      <c r="D27" s="68">
        <f t="shared" si="5"/>
        <v>-3725</v>
      </c>
      <c r="E27" s="68">
        <v>-2906</v>
      </c>
      <c r="F27" s="68">
        <v>-819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[9]APR_YTD!$H26</f>
        <v>0</v>
      </c>
    </row>
    <row r="28" spans="1:18" ht="12.75" customHeight="1" outlineLevel="4" x14ac:dyDescent="0.2">
      <c r="A28" s="67" t="s">
        <v>13</v>
      </c>
      <c r="B28" s="63">
        <f t="shared" si="4"/>
        <v>-367</v>
      </c>
      <c r="C28" s="63"/>
      <c r="D28" s="68">
        <f t="shared" si="5"/>
        <v>-458</v>
      </c>
      <c r="E28" s="68">
        <v>4488</v>
      </c>
      <c r="F28" s="68">
        <v>-946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-2735</v>
      </c>
      <c r="N28" s="68">
        <f t="shared" si="6"/>
        <v>-3997</v>
      </c>
      <c r="O28" s="68">
        <v>0</v>
      </c>
      <c r="P28" s="68"/>
      <c r="R28" s="68">
        <f>[9]APR_YTD!$H27</f>
        <v>91</v>
      </c>
    </row>
    <row r="29" spans="1:18" ht="12.75" customHeight="1" outlineLevel="4" x14ac:dyDescent="0.2">
      <c r="A29" s="67" t="s">
        <v>14</v>
      </c>
      <c r="B29" s="63">
        <f t="shared" si="4"/>
        <v>5192</v>
      </c>
      <c r="C29" s="63"/>
      <c r="D29" s="68">
        <f t="shared" si="5"/>
        <v>5192</v>
      </c>
      <c r="E29" s="72">
        <v>6438</v>
      </c>
      <c r="F29" s="72">
        <v>-1246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[9]APR_YTD!$H28</f>
        <v>0</v>
      </c>
    </row>
    <row r="30" spans="1:18" ht="12.75" customHeight="1" outlineLevel="4" x14ac:dyDescent="0.2">
      <c r="A30" s="67" t="s">
        <v>30</v>
      </c>
      <c r="B30" s="69">
        <f t="shared" si="4"/>
        <v>-10661</v>
      </c>
      <c r="C30" s="63"/>
      <c r="D30" s="68">
        <f t="shared" si="5"/>
        <v>-10661</v>
      </c>
      <c r="E30" s="70">
        <v>-7433</v>
      </c>
      <c r="F30" s="70">
        <v>-234</v>
      </c>
      <c r="G30" s="70"/>
      <c r="H30" s="70">
        <v>-710</v>
      </c>
      <c r="I30" s="70"/>
      <c r="J30" s="70"/>
      <c r="K30" s="70">
        <v>-1</v>
      </c>
      <c r="L30" s="70">
        <v>3</v>
      </c>
      <c r="M30" s="70"/>
      <c r="N30" s="70">
        <f t="shared" si="6"/>
        <v>3</v>
      </c>
      <c r="O30" s="70">
        <v>-2286</v>
      </c>
      <c r="P30" s="70"/>
      <c r="R30" s="68">
        <f>[9]APR_YTD!$H28</f>
        <v>0</v>
      </c>
    </row>
    <row r="31" spans="1:18" ht="12.75" customHeight="1" outlineLevel="4" x14ac:dyDescent="0.2">
      <c r="A31" s="67" t="s">
        <v>33</v>
      </c>
      <c r="B31" s="84">
        <f>SUM(B21:B30)</f>
        <v>2074</v>
      </c>
      <c r="C31" s="74"/>
      <c r="D31" s="84">
        <f>SUM(D21:D30)</f>
        <v>-944</v>
      </c>
      <c r="E31" s="84">
        <f>SUM(E21:E30)</f>
        <v>18868</v>
      </c>
      <c r="F31" s="84">
        <f t="shared" ref="F31:R31" si="7">SUM(F21:F30)</f>
        <v>-7442</v>
      </c>
      <c r="G31" s="84">
        <f t="shared" si="7"/>
        <v>0</v>
      </c>
      <c r="H31" s="84">
        <f t="shared" si="7"/>
        <v>-904</v>
      </c>
      <c r="I31" s="84">
        <f t="shared" si="7"/>
        <v>0</v>
      </c>
      <c r="J31" s="84">
        <f t="shared" si="7"/>
        <v>-226</v>
      </c>
      <c r="K31" s="84">
        <f t="shared" si="7"/>
        <v>-355</v>
      </c>
      <c r="L31" s="84">
        <f t="shared" si="7"/>
        <v>-1142</v>
      </c>
      <c r="M31" s="84">
        <f t="shared" si="7"/>
        <v>-2735</v>
      </c>
      <c r="N31" s="84">
        <f t="shared" si="7"/>
        <v>-3903</v>
      </c>
      <c r="O31" s="84">
        <f t="shared" si="7"/>
        <v>-7081</v>
      </c>
      <c r="P31" s="84">
        <f t="shared" si="7"/>
        <v>73</v>
      </c>
      <c r="R31" s="84">
        <f t="shared" si="7"/>
        <v>3018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121972.54699999999</v>
      </c>
      <c r="C33" s="63"/>
      <c r="D33" s="75">
        <f t="shared" ref="D33:P33" si="8">D19+D31</f>
        <v>116319.49699999996</v>
      </c>
      <c r="E33" s="75">
        <f t="shared" si="8"/>
        <v>91303.58699999997</v>
      </c>
      <c r="F33" s="75">
        <f t="shared" si="8"/>
        <v>22174.707000000002</v>
      </c>
      <c r="G33" s="75">
        <f t="shared" si="8"/>
        <v>0</v>
      </c>
      <c r="H33" s="75">
        <f t="shared" si="8"/>
        <v>140.37899999999991</v>
      </c>
      <c r="I33" s="75">
        <f t="shared" si="8"/>
        <v>-0.34100000000000086</v>
      </c>
      <c r="J33" s="75">
        <f t="shared" si="8"/>
        <v>4.2509999999996353</v>
      </c>
      <c r="K33" s="75">
        <f t="shared" si="8"/>
        <v>-274.65100000000007</v>
      </c>
      <c r="L33" s="75">
        <f t="shared" si="8"/>
        <v>18.218000000000075</v>
      </c>
      <c r="M33" s="75">
        <f t="shared" si="8"/>
        <v>-2735</v>
      </c>
      <c r="N33" s="75">
        <f t="shared" si="8"/>
        <v>-2742.7820000000002</v>
      </c>
      <c r="O33" s="75">
        <f t="shared" si="8"/>
        <v>5654.3470000000016</v>
      </c>
      <c r="P33" s="75">
        <f t="shared" si="8"/>
        <v>34</v>
      </c>
      <c r="R33" s="75">
        <f>R19+R31</f>
        <v>5653.0499999999993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7293</v>
      </c>
      <c r="C36" s="63"/>
      <c r="D36" s="68">
        <f>SUM(E36:M36)+O36+P36</f>
        <v>7293</v>
      </c>
      <c r="E36" s="76">
        <v>7293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-16589</v>
      </c>
      <c r="C37" s="63"/>
      <c r="D37" s="68">
        <f>SUM(E37:M37)+O37+P37</f>
        <v>-16589</v>
      </c>
      <c r="E37" s="76">
        <v>-9137</v>
      </c>
      <c r="F37" s="76">
        <v>-7452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8761</v>
      </c>
      <c r="C38" s="63"/>
      <c r="D38" s="68">
        <f>SUM(E38:M38)+O38+P38</f>
        <v>8761</v>
      </c>
      <c r="E38" s="76">
        <f>8699-145</f>
        <v>8554</v>
      </c>
      <c r="F38" s="76">
        <f>246-39</f>
        <v>207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113</v>
      </c>
      <c r="B39" s="63">
        <f t="shared" si="9"/>
        <v>16230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[9]APR_YTD!$H$38</f>
        <v>16230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-1839</v>
      </c>
      <c r="C41" s="63"/>
      <c r="D41" s="70">
        <f>SUM(E41:M41)+O41+P41</f>
        <v>-1839</v>
      </c>
      <c r="E41" s="70">
        <v>-1839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13856</v>
      </c>
      <c r="C42" s="77">
        <f>SUM(C36:C41)</f>
        <v>0</v>
      </c>
      <c r="D42" s="75">
        <f>SUM(D36:D41)</f>
        <v>-2374</v>
      </c>
      <c r="E42" s="75">
        <f>SUM(E36:E41)</f>
        <v>4871</v>
      </c>
      <c r="F42" s="75">
        <f t="shared" ref="F42:R42" si="10">SUM(F36:F41)</f>
        <v>-7245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16230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185828.54699999999</v>
      </c>
      <c r="C52" s="63"/>
      <c r="D52" s="77">
        <f t="shared" ref="D52:M52" si="12">D33+D42+D50</f>
        <v>163945.49699999997</v>
      </c>
      <c r="E52" s="77">
        <f t="shared" si="12"/>
        <v>96174.58699999997</v>
      </c>
      <c r="F52" s="77">
        <f t="shared" si="12"/>
        <v>64929.707000000002</v>
      </c>
      <c r="G52" s="77">
        <f t="shared" si="12"/>
        <v>0</v>
      </c>
      <c r="H52" s="77">
        <f t="shared" si="12"/>
        <v>140.37899999999991</v>
      </c>
      <c r="I52" s="77">
        <f t="shared" si="12"/>
        <v>-0.34100000000000086</v>
      </c>
      <c r="J52" s="77">
        <f t="shared" si="12"/>
        <v>4.2509999999996353</v>
      </c>
      <c r="K52" s="77">
        <f t="shared" si="12"/>
        <v>-274.65100000000007</v>
      </c>
      <c r="L52" s="77">
        <f t="shared" si="12"/>
        <v>18.218000000000075</v>
      </c>
      <c r="M52" s="77">
        <f t="shared" si="12"/>
        <v>-2735</v>
      </c>
      <c r="N52" s="77">
        <f>M52+L52</f>
        <v>-2716.7820000000002</v>
      </c>
      <c r="O52" s="77">
        <f>O33+O42+O50</f>
        <v>5654.3470000000016</v>
      </c>
      <c r="P52" s="77">
        <f>P33+P42+P50</f>
        <v>34</v>
      </c>
      <c r="R52" s="77">
        <f>R33+R42+R50</f>
        <v>21883.05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-3475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[9]APR_YTD!$H$51</f>
        <v>-3475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182353.54699999999</v>
      </c>
      <c r="C56" s="63"/>
      <c r="D56" s="81">
        <f t="shared" ref="D56:K56" si="13">D54+D52</f>
        <v>163945.49699999997</v>
      </c>
      <c r="E56" s="81">
        <f t="shared" si="13"/>
        <v>96174.58699999997</v>
      </c>
      <c r="F56" s="81">
        <f t="shared" si="13"/>
        <v>64929.707000000002</v>
      </c>
      <c r="G56" s="81">
        <f t="shared" si="13"/>
        <v>0</v>
      </c>
      <c r="H56" s="81">
        <f t="shared" si="13"/>
        <v>140.37899999999991</v>
      </c>
      <c r="I56" s="81">
        <f t="shared" si="13"/>
        <v>-0.34100000000000086</v>
      </c>
      <c r="J56" s="81">
        <f t="shared" si="13"/>
        <v>4.2509999999996353</v>
      </c>
      <c r="K56" s="81">
        <f t="shared" si="13"/>
        <v>-274.65100000000007</v>
      </c>
      <c r="L56" s="81">
        <f>L52-L54</f>
        <v>18.218000000000075</v>
      </c>
      <c r="M56" s="81">
        <f>M52-M54</f>
        <v>-2735</v>
      </c>
      <c r="N56" s="81">
        <f>N54+N52</f>
        <v>-2716.7820000000002</v>
      </c>
      <c r="O56" s="81">
        <f>O54+O52</f>
        <v>5654.3470000000016</v>
      </c>
      <c r="P56" s="81">
        <f>P54+P52</f>
        <v>34</v>
      </c>
      <c r="R56" s="81">
        <f>R54+R52</f>
        <v>18408.05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-50027</v>
      </c>
      <c r="C58" s="46"/>
      <c r="D58" s="70">
        <f>SUM(E58:P58)</f>
        <v>-50027</v>
      </c>
      <c r="E58" s="80">
        <v>-26</v>
      </c>
      <c r="F58" s="80">
        <v>-50000</v>
      </c>
      <c r="G58" s="80">
        <v>0</v>
      </c>
      <c r="H58" s="80">
        <v>0</v>
      </c>
      <c r="I58" s="80">
        <v>173</v>
      </c>
      <c r="J58" s="80">
        <v>-436</v>
      </c>
      <c r="K58" s="80">
        <v>262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132326.54699999999</v>
      </c>
      <c r="C60" s="46"/>
      <c r="D60" s="81">
        <f t="shared" ref="D60:M60" si="14">D56+D58</f>
        <v>113918.49699999997</v>
      </c>
      <c r="E60" s="81">
        <f t="shared" si="14"/>
        <v>96148.58699999997</v>
      </c>
      <c r="F60" s="81">
        <f t="shared" si="14"/>
        <v>14929.707000000002</v>
      </c>
      <c r="G60" s="81">
        <f t="shared" si="14"/>
        <v>0</v>
      </c>
      <c r="H60" s="81">
        <f t="shared" si="14"/>
        <v>140.37899999999991</v>
      </c>
      <c r="I60" s="81">
        <f t="shared" si="14"/>
        <v>172.65899999999999</v>
      </c>
      <c r="J60" s="81">
        <f t="shared" si="14"/>
        <v>-431.74900000000036</v>
      </c>
      <c r="K60" s="81">
        <f t="shared" si="14"/>
        <v>-12.651000000000067</v>
      </c>
      <c r="L60" s="81">
        <f t="shared" si="14"/>
        <v>18.218000000000075</v>
      </c>
      <c r="M60" s="81">
        <f t="shared" si="14"/>
        <v>-2735</v>
      </c>
      <c r="N60" s="81">
        <f>M60+L60</f>
        <v>-2716.7820000000002</v>
      </c>
      <c r="O60" s="81">
        <f>O56+O58</f>
        <v>5654.3470000000016</v>
      </c>
      <c r="P60" s="81">
        <f>P56+P58</f>
        <v>34</v>
      </c>
      <c r="R60" s="81">
        <f>R56+R58</f>
        <v>18408.05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3" bottom="0.55000000000000004" header="0.5" footer="0.5"/>
  <pageSetup scale="6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topLeftCell="E1" workbookViewId="0">
      <selection activeCell="E5" sqref="E5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28690.462000000018</v>
      </c>
      <c r="C8" s="63"/>
      <c r="D8" s="68">
        <f>SUM(E8:M8)+O8+P8</f>
        <v>29061.642000000018</v>
      </c>
      <c r="E8" s="68">
        <f>MarYTD!E8-FebYTD!E8</f>
        <v>21396.929000000018</v>
      </c>
      <c r="F8" s="68">
        <f>MarYTD!F8-FebYTD!F8</f>
        <v>3941.993000000004</v>
      </c>
      <c r="G8" s="68">
        <f>MarYTD!G8-FebYTD!G8</f>
        <v>2064.3850000000002</v>
      </c>
      <c r="H8" s="68">
        <f>MarYTD!H8-FebYTD!H8</f>
        <v>295.55000000000018</v>
      </c>
      <c r="I8" s="68">
        <f>MarYTD!I8-FebYTD!I8</f>
        <v>-0.28600000000000281</v>
      </c>
      <c r="J8" s="68">
        <f>MarYTD!J8-FebYTD!J8</f>
        <v>44.148999999999944</v>
      </c>
      <c r="K8" s="68">
        <f>MarYTD!K8-FebYTD!K8</f>
        <v>20.902000000000029</v>
      </c>
      <c r="L8" s="68">
        <f>MarYTD!L8-FebYTD!L8</f>
        <v>15.619</v>
      </c>
      <c r="M8" s="68">
        <f>MarYTD!M8-FebYTD!M8</f>
        <v>0</v>
      </c>
      <c r="N8" s="68">
        <f>M8+L8</f>
        <v>15.619</v>
      </c>
      <c r="O8" s="68">
        <f>MarYTD!O8-FebYTD!O8</f>
        <v>1282.402</v>
      </c>
      <c r="P8" s="68">
        <f>MarYTD!P8-FebYTD!P8</f>
        <v>-9.9999999999944578E-4</v>
      </c>
      <c r="R8" s="68">
        <f>MarYTD!R8-FebYTD!R8</f>
        <v>-371.17999999999995</v>
      </c>
    </row>
    <row r="9" spans="1:18" ht="12.75" customHeight="1" outlineLevel="4" x14ac:dyDescent="0.2">
      <c r="A9" s="62" t="s">
        <v>29</v>
      </c>
      <c r="B9" s="69">
        <f>D9+R9</f>
        <v>1079.9389999999994</v>
      </c>
      <c r="C9" s="63"/>
      <c r="D9" s="70">
        <f>SUM(E9:M9)+O9+P9</f>
        <v>1079.9389999999994</v>
      </c>
      <c r="E9" s="70">
        <f>MarYTD!E9-FebYTD!E9</f>
        <v>-1205.2839999999997</v>
      </c>
      <c r="F9" s="70">
        <f>MarYTD!F9-FebYTD!F9</f>
        <v>332.71999999999991</v>
      </c>
      <c r="G9" s="70">
        <f>MarYTD!G9-FebYTD!G9</f>
        <v>0</v>
      </c>
      <c r="H9" s="70">
        <f>MarYTD!H9-FebYTD!H9</f>
        <v>292.65700000000015</v>
      </c>
      <c r="I9" s="70">
        <f>MarYTD!I9-FebYTD!I9</f>
        <v>0</v>
      </c>
      <c r="J9" s="70">
        <f>MarYTD!J9-FebYTD!J9</f>
        <v>27.117999999999988</v>
      </c>
      <c r="K9" s="70">
        <f>MarYTD!K9-FebYTD!K9</f>
        <v>0</v>
      </c>
      <c r="L9" s="70">
        <f>MarYTD!L9-FebYTD!L9</f>
        <v>0</v>
      </c>
      <c r="M9" s="70">
        <f>MarYTD!M9-FebYTD!M9</f>
        <v>0</v>
      </c>
      <c r="N9" s="70">
        <f>M9+L9</f>
        <v>0</v>
      </c>
      <c r="O9" s="70">
        <f>MarYTD!O9-FebYTD!O9</f>
        <v>1632.7279999999992</v>
      </c>
      <c r="P9" s="70">
        <f>MarYTD!P9-FebYTD!P9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29770.401000000016</v>
      </c>
      <c r="C10" s="63"/>
      <c r="D10" s="71">
        <f t="shared" ref="D10:M10" si="0">D8+D9</f>
        <v>30141.581000000017</v>
      </c>
      <c r="E10" s="71">
        <f t="shared" si="0"/>
        <v>20191.645000000019</v>
      </c>
      <c r="F10" s="71">
        <f t="shared" si="0"/>
        <v>4274.7130000000043</v>
      </c>
      <c r="G10" s="71">
        <f t="shared" si="0"/>
        <v>2064.3850000000002</v>
      </c>
      <c r="H10" s="71">
        <f t="shared" si="0"/>
        <v>588.20700000000033</v>
      </c>
      <c r="I10" s="71">
        <f t="shared" si="0"/>
        <v>-0.28600000000000281</v>
      </c>
      <c r="J10" s="71">
        <f t="shared" si="0"/>
        <v>71.266999999999939</v>
      </c>
      <c r="K10" s="71">
        <f t="shared" si="0"/>
        <v>20.902000000000029</v>
      </c>
      <c r="L10" s="71">
        <f t="shared" si="0"/>
        <v>15.619</v>
      </c>
      <c r="M10" s="71">
        <f t="shared" si="0"/>
        <v>0</v>
      </c>
      <c r="N10" s="71">
        <f>N8</f>
        <v>15.619</v>
      </c>
      <c r="O10" s="71">
        <f>O8+O9</f>
        <v>2915.1299999999992</v>
      </c>
      <c r="P10" s="71">
        <f>P8+P9</f>
        <v>-9.9999999999944578E-4</v>
      </c>
      <c r="R10" s="71">
        <f>R8+R9</f>
        <v>-371.17999999999995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5542.808</v>
      </c>
      <c r="C12" s="63"/>
      <c r="D12" s="68">
        <f t="shared" ref="D12:D18" si="1">SUM(E12:M12)+O12+P12</f>
        <v>5542.808</v>
      </c>
      <c r="E12" s="68">
        <f>MarYTD!E12-FebYTD!E12</f>
        <v>3913.1990000000005</v>
      </c>
      <c r="F12" s="68">
        <f>MarYTD!F12-FebYTD!F12</f>
        <v>1618.4519999999993</v>
      </c>
      <c r="G12" s="68">
        <f>MarYTD!G12-FebYTD!G12</f>
        <v>0</v>
      </c>
      <c r="H12" s="68">
        <f>MarYTD!H12-FebYTD!H12</f>
        <v>0</v>
      </c>
      <c r="I12" s="68">
        <f>MarYTD!I12-FebYTD!I12</f>
        <v>0</v>
      </c>
      <c r="J12" s="68">
        <f>MarYTD!J12-FebYTD!J12</f>
        <v>0</v>
      </c>
      <c r="K12" s="68">
        <f>MarYTD!K12-FebYTD!K12</f>
        <v>0</v>
      </c>
      <c r="L12" s="68">
        <f>MarYTD!L12-FebYTD!L12</f>
        <v>11.157</v>
      </c>
      <c r="M12" s="68">
        <f>MarYTD!M12-FebYTD!M12</f>
        <v>0</v>
      </c>
      <c r="N12" s="68">
        <f t="shared" ref="N12:N18" si="2">M12+L12</f>
        <v>11.157</v>
      </c>
      <c r="O12" s="68">
        <f>MarYTD!O12-FebYTD!O12</f>
        <v>0</v>
      </c>
      <c r="P12" s="68">
        <f>MarYTD!P12-FebYTD!P12</f>
        <v>0</v>
      </c>
      <c r="R12" s="68">
        <f>MarYTD!R12-FebYTD!R12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2711.8469999999998</v>
      </c>
      <c r="C13" s="63"/>
      <c r="D13" s="68">
        <f t="shared" si="1"/>
        <v>2706.7839999999997</v>
      </c>
      <c r="E13" s="68">
        <f>MarYTD!E13-FebYTD!E13</f>
        <v>2575.174</v>
      </c>
      <c r="F13" s="68">
        <f>MarYTD!F13-FebYTD!F13</f>
        <v>76.172999999999888</v>
      </c>
      <c r="G13" s="68">
        <f>MarYTD!G13-FebYTD!G13</f>
        <v>0</v>
      </c>
      <c r="H13" s="68">
        <f>MarYTD!H13-FebYTD!H13</f>
        <v>55.191999999999993</v>
      </c>
      <c r="I13" s="68">
        <f>MarYTD!I13-FebYTD!I13</f>
        <v>0</v>
      </c>
      <c r="J13" s="68">
        <f>MarYTD!J13-FebYTD!J13</f>
        <v>0</v>
      </c>
      <c r="K13" s="68">
        <f>MarYTD!K13-FebYTD!K13</f>
        <v>-0.60600000000000009</v>
      </c>
      <c r="L13" s="68">
        <f>MarYTD!L13-FebYTD!L13</f>
        <v>0.85099999999999998</v>
      </c>
      <c r="M13" s="68">
        <f>MarYTD!M13-FebYTD!M13</f>
        <v>0</v>
      </c>
      <c r="N13" s="68">
        <f t="shared" si="2"/>
        <v>0.85099999999999998</v>
      </c>
      <c r="O13" s="68">
        <f>MarYTD!O13-FebYTD!O13</f>
        <v>0</v>
      </c>
      <c r="P13" s="68">
        <f>MarYTD!P13-FebYTD!P13</f>
        <v>0</v>
      </c>
      <c r="R13" s="68">
        <f>MarYTD!R13-FebYTD!R13</f>
        <v>5.0630000000000006</v>
      </c>
    </row>
    <row r="14" spans="1:18" ht="12.75" customHeight="1" outlineLevel="4" x14ac:dyDescent="0.2">
      <c r="A14" s="67" t="s">
        <v>22</v>
      </c>
      <c r="B14" s="63">
        <f t="shared" si="3"/>
        <v>-102.19800000000001</v>
      </c>
      <c r="C14" s="63"/>
      <c r="D14" s="68">
        <f t="shared" si="1"/>
        <v>-102.19800000000001</v>
      </c>
      <c r="E14" s="68">
        <f>MarYTD!E14-FebYTD!E14</f>
        <v>-102.197</v>
      </c>
      <c r="F14" s="68">
        <f>MarYTD!F14-FebYTD!F14</f>
        <v>-1E-3</v>
      </c>
      <c r="G14" s="68">
        <f>MarYTD!G14-FebYTD!G14</f>
        <v>0</v>
      </c>
      <c r="H14" s="68">
        <f>MarYTD!H14-FebYTD!H14</f>
        <v>0</v>
      </c>
      <c r="I14" s="68">
        <f>MarYTD!I14-FebYTD!I14</f>
        <v>0</v>
      </c>
      <c r="J14" s="68">
        <f>MarYTD!J14-FebYTD!J14</f>
        <v>0</v>
      </c>
      <c r="K14" s="68">
        <f>MarYTD!K14-FebYTD!K14</f>
        <v>0</v>
      </c>
      <c r="L14" s="68">
        <f>MarYTD!L14-FebYTD!L14</f>
        <v>0</v>
      </c>
      <c r="M14" s="68">
        <f>MarYTD!M14-FebYTD!M14</f>
        <v>0</v>
      </c>
      <c r="N14" s="68">
        <f t="shared" si="2"/>
        <v>0</v>
      </c>
      <c r="O14" s="68">
        <f>MarYTD!O14-FebYTD!O14</f>
        <v>0</v>
      </c>
      <c r="P14" s="68">
        <f>MarYTD!P14-FebYTD!P14</f>
        <v>0</v>
      </c>
      <c r="R14" s="68">
        <f>MarYTD!R14-FebYTD!R14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MarYTD!E15-FebYTD!E15</f>
        <v>0</v>
      </c>
      <c r="F15" s="68">
        <f>MarYTD!F15-FebYTD!F15</f>
        <v>0</v>
      </c>
      <c r="G15" s="68">
        <f>MarYTD!G15-FebYTD!G15</f>
        <v>0</v>
      </c>
      <c r="H15" s="68">
        <f>MarYTD!H15-FebYTD!H15</f>
        <v>0</v>
      </c>
      <c r="I15" s="68">
        <f>MarYTD!I15-FebYTD!I15</f>
        <v>0</v>
      </c>
      <c r="J15" s="68">
        <f>MarYTD!J15-FebYTD!J15</f>
        <v>0</v>
      </c>
      <c r="K15" s="68">
        <f>MarYTD!K15-FebYTD!K15</f>
        <v>0</v>
      </c>
      <c r="L15" s="68">
        <f>MarYTD!L15-FebYTD!L15</f>
        <v>0</v>
      </c>
      <c r="M15" s="68">
        <f>MarYTD!M15-FebYTD!M15</f>
        <v>0</v>
      </c>
      <c r="N15" s="68">
        <f t="shared" si="2"/>
        <v>0</v>
      </c>
      <c r="O15" s="68">
        <f>MarYTD!O15-FebYTD!O15</f>
        <v>0</v>
      </c>
      <c r="P15" s="68">
        <f>MarYTD!P15-FebYTD!P15</f>
        <v>0</v>
      </c>
      <c r="R15" s="68">
        <f>MarYTD!R15-FebYTD!R15</f>
        <v>0</v>
      </c>
    </row>
    <row r="16" spans="1:18" ht="12.75" customHeight="1" outlineLevel="4" x14ac:dyDescent="0.2">
      <c r="A16" s="67" t="s">
        <v>38</v>
      </c>
      <c r="B16" s="63">
        <f t="shared" si="3"/>
        <v>-2277.7360000000008</v>
      </c>
      <c r="C16" s="63"/>
      <c r="D16" s="68">
        <f t="shared" si="1"/>
        <v>-2838.3160000000007</v>
      </c>
      <c r="E16" s="68">
        <f>MarYTD!E16-FebYTD!E16</f>
        <v>-253.39100000000008</v>
      </c>
      <c r="F16" s="68">
        <f>MarYTD!F16-FebYTD!F16</f>
        <v>0</v>
      </c>
      <c r="G16" s="68">
        <f>MarYTD!G16-FebYTD!G16</f>
        <v>-2064.3850000000002</v>
      </c>
      <c r="H16" s="68">
        <f>MarYTD!H16-FebYTD!H16</f>
        <v>-520.54000000000019</v>
      </c>
      <c r="I16" s="68">
        <f>MarYTD!I16-FebYTD!I16</f>
        <v>0</v>
      </c>
      <c r="J16" s="68">
        <f>MarYTD!J16-FebYTD!J16</f>
        <v>0</v>
      </c>
      <c r="K16" s="68">
        <f>MarYTD!K16-FebYTD!K16</f>
        <v>0</v>
      </c>
      <c r="L16" s="68">
        <f>MarYTD!L16-FebYTD!L16</f>
        <v>0</v>
      </c>
      <c r="M16" s="68">
        <f>MarYTD!M16-FebYTD!M16</f>
        <v>0</v>
      </c>
      <c r="N16" s="68">
        <f t="shared" si="2"/>
        <v>0</v>
      </c>
      <c r="O16" s="68">
        <f>MarYTD!O16-FebYTD!O16</f>
        <v>0</v>
      </c>
      <c r="P16" s="68">
        <f>MarYTD!P16-FebYTD!P16</f>
        <v>0</v>
      </c>
      <c r="R16" s="68">
        <f>MarYTD!R16-FebYTD!R16</f>
        <v>560.58000000000015</v>
      </c>
    </row>
    <row r="17" spans="1:18" ht="12.75" customHeight="1" outlineLevel="4" x14ac:dyDescent="0.2">
      <c r="A17" s="67" t="s">
        <v>39</v>
      </c>
      <c r="B17" s="63">
        <f t="shared" si="3"/>
        <v>800</v>
      </c>
      <c r="C17" s="63"/>
      <c r="D17" s="68">
        <f t="shared" si="1"/>
        <v>800</v>
      </c>
      <c r="E17" s="68">
        <f>MarYTD!E17-FebYTD!E17</f>
        <v>800</v>
      </c>
      <c r="F17" s="68">
        <f>MarYTD!F17-FebYTD!F17</f>
        <v>0</v>
      </c>
      <c r="G17" s="68">
        <f>MarYTD!G17-FebYTD!G17</f>
        <v>0</v>
      </c>
      <c r="H17" s="68">
        <f>MarYTD!H17-FebYTD!H17</f>
        <v>0</v>
      </c>
      <c r="I17" s="68">
        <f>MarYTD!I17-FebYTD!I17</f>
        <v>0</v>
      </c>
      <c r="J17" s="68">
        <f>MarYTD!J17-FebYTD!J17</f>
        <v>0</v>
      </c>
      <c r="K17" s="68">
        <f>MarYTD!K17-FebYTD!K17</f>
        <v>0</v>
      </c>
      <c r="L17" s="68">
        <f>MarYTD!L17-FebYTD!L17</f>
        <v>0</v>
      </c>
      <c r="M17" s="68">
        <f>MarYTD!M17-FebYTD!M17</f>
        <v>0</v>
      </c>
      <c r="N17" s="68">
        <f t="shared" si="2"/>
        <v>0</v>
      </c>
      <c r="O17" s="68">
        <f>MarYTD!O17-FebYTD!O17</f>
        <v>0</v>
      </c>
      <c r="P17" s="68">
        <f>MarYTD!P17-FebYTD!P17</f>
        <v>0</v>
      </c>
      <c r="R17" s="68">
        <f>MarYTD!R17-FebYTD!R17</f>
        <v>0</v>
      </c>
    </row>
    <row r="18" spans="1:18" ht="12.75" customHeight="1" outlineLevel="4" x14ac:dyDescent="0.2">
      <c r="A18" s="67" t="s">
        <v>32</v>
      </c>
      <c r="B18" s="69">
        <f t="shared" si="3"/>
        <v>-18642</v>
      </c>
      <c r="C18" s="63"/>
      <c r="D18" s="68">
        <f t="shared" si="1"/>
        <v>-18898</v>
      </c>
      <c r="E18" s="68">
        <f>MarYTD!E18-FebYTD!E18</f>
        <v>-5945</v>
      </c>
      <c r="F18" s="68">
        <f>MarYTD!F18-FebYTD!F18</f>
        <v>443</v>
      </c>
      <c r="G18" s="68">
        <f>MarYTD!G18-FebYTD!G18</f>
        <v>0</v>
      </c>
      <c r="H18" s="68">
        <f>MarYTD!H18-FebYTD!H18</f>
        <v>0</v>
      </c>
      <c r="I18" s="68">
        <f>MarYTD!I18-FebYTD!I18</f>
        <v>1</v>
      </c>
      <c r="J18" s="68">
        <f>MarYTD!J18-FebYTD!J18</f>
        <v>-358</v>
      </c>
      <c r="K18" s="68">
        <f>MarYTD!K18-FebYTD!K18</f>
        <v>2</v>
      </c>
      <c r="L18" s="68">
        <f>MarYTD!L18-FebYTD!L18</f>
        <v>-31</v>
      </c>
      <c r="M18" s="68">
        <f>MarYTD!M18-FebYTD!M18</f>
        <v>-16746</v>
      </c>
      <c r="N18" s="68">
        <f t="shared" si="2"/>
        <v>-16777</v>
      </c>
      <c r="O18" s="68">
        <f>MarYTD!O18-FebYTD!O18</f>
        <v>3704</v>
      </c>
      <c r="P18" s="68">
        <f>MarYTD!P18-FebYTD!P18</f>
        <v>32</v>
      </c>
      <c r="R18" s="68">
        <f>MarYTD!R18-FebYTD!R18</f>
        <v>256</v>
      </c>
    </row>
    <row r="19" spans="1:18" ht="12.75" customHeight="1" outlineLevel="4" x14ac:dyDescent="0.2">
      <c r="A19" s="62" t="s">
        <v>31</v>
      </c>
      <c r="B19" s="73">
        <f>SUM(B10:B18)</f>
        <v>17803.122000000018</v>
      </c>
      <c r="C19" s="63"/>
      <c r="D19" s="73">
        <f t="shared" ref="D19:P19" si="4">SUM(D10:D18)</f>
        <v>17352.659000000021</v>
      </c>
      <c r="E19" s="73">
        <f t="shared" si="4"/>
        <v>21179.430000000018</v>
      </c>
      <c r="F19" s="73">
        <f t="shared" si="4"/>
        <v>6412.3370000000032</v>
      </c>
      <c r="G19" s="73">
        <f t="shared" si="4"/>
        <v>0</v>
      </c>
      <c r="H19" s="73">
        <f t="shared" si="4"/>
        <v>122.85900000000015</v>
      </c>
      <c r="I19" s="73">
        <f t="shared" si="4"/>
        <v>0.71399999999999719</v>
      </c>
      <c r="J19" s="73">
        <f t="shared" si="4"/>
        <v>-286.73300000000006</v>
      </c>
      <c r="K19" s="73">
        <f t="shared" si="4"/>
        <v>22.296000000000028</v>
      </c>
      <c r="L19" s="73">
        <f t="shared" si="4"/>
        <v>-3.3730000000000011</v>
      </c>
      <c r="M19" s="73">
        <f t="shared" si="4"/>
        <v>-16746</v>
      </c>
      <c r="N19" s="73">
        <f t="shared" si="4"/>
        <v>-16749.373</v>
      </c>
      <c r="O19" s="73">
        <f t="shared" si="4"/>
        <v>6619.1299999999992</v>
      </c>
      <c r="P19" s="73">
        <f t="shared" si="4"/>
        <v>31.999000000000002</v>
      </c>
      <c r="R19" s="73">
        <f>SUM(R10:R18)</f>
        <v>450.46300000000019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3459</v>
      </c>
      <c r="C22" s="63"/>
      <c r="D22" s="68">
        <f t="shared" ref="D22:D30" si="6">SUM(E22:M22)+O22+P22</f>
        <v>3628</v>
      </c>
      <c r="E22" s="68">
        <f>MarYTD!E22-FebYTD!E22</f>
        <v>1257</v>
      </c>
      <c r="F22" s="68">
        <f>MarYTD!F22-FebYTD!F22</f>
        <v>-185</v>
      </c>
      <c r="G22" s="68">
        <f>MarYTD!G22-FebYTD!G22</f>
        <v>0</v>
      </c>
      <c r="H22" s="68">
        <f>MarYTD!H22-FebYTD!H22</f>
        <v>-21</v>
      </c>
      <c r="I22" s="68">
        <f>MarYTD!I22-FebYTD!I22</f>
        <v>2</v>
      </c>
      <c r="J22" s="68">
        <f>MarYTD!J22-FebYTD!J22</f>
        <v>115</v>
      </c>
      <c r="K22" s="68">
        <f>MarYTD!K22-FebYTD!K22</f>
        <v>63</v>
      </c>
      <c r="L22" s="68">
        <f>MarYTD!L22-FebYTD!L22</f>
        <v>32</v>
      </c>
      <c r="M22" s="68">
        <f>MarYTD!M22-FebYTD!M22</f>
        <v>0</v>
      </c>
      <c r="N22" s="68">
        <f t="shared" ref="N22:N30" si="7">M22+L22</f>
        <v>32</v>
      </c>
      <c r="O22" s="68">
        <f>MarYTD!O22-FebYTD!O22</f>
        <v>2409</v>
      </c>
      <c r="P22" s="68">
        <f>MarYTD!P22-FebYTD!P22</f>
        <v>-44</v>
      </c>
      <c r="R22" s="68">
        <f>MarYTD!R22-FebYTD!R22</f>
        <v>-169</v>
      </c>
    </row>
    <row r="23" spans="1:18" ht="12.75" customHeight="1" outlineLevel="4" x14ac:dyDescent="0.2">
      <c r="A23" s="67" t="s">
        <v>20</v>
      </c>
      <c r="B23" s="63">
        <f t="shared" si="5"/>
        <v>7255</v>
      </c>
      <c r="C23" s="63"/>
      <c r="D23" s="68">
        <f t="shared" si="6"/>
        <v>7255</v>
      </c>
      <c r="E23" s="68">
        <f>MarYTD!E23-FebYTD!E23</f>
        <v>-6316</v>
      </c>
      <c r="F23" s="68">
        <f>MarYTD!F23-FebYTD!F23</f>
        <v>-5250</v>
      </c>
      <c r="G23" s="68">
        <f>MarYTD!G23-FebYTD!G23</f>
        <v>0</v>
      </c>
      <c r="H23" s="68">
        <f>MarYTD!H23-FebYTD!H23</f>
        <v>0</v>
      </c>
      <c r="I23" s="68">
        <f>MarYTD!I23-FebYTD!I23</f>
        <v>-2</v>
      </c>
      <c r="J23" s="68">
        <f>MarYTD!J23-FebYTD!J23</f>
        <v>577</v>
      </c>
      <c r="K23" s="68">
        <f>MarYTD!K23-FebYTD!K23</f>
        <v>-153</v>
      </c>
      <c r="L23" s="68">
        <f>MarYTD!L23-FebYTD!L23</f>
        <v>33</v>
      </c>
      <c r="M23" s="68">
        <f>MarYTD!M23-FebYTD!M23</f>
        <v>0</v>
      </c>
      <c r="N23" s="68">
        <f t="shared" si="7"/>
        <v>33</v>
      </c>
      <c r="O23" s="68">
        <f>MarYTD!O23-FebYTD!O23</f>
        <v>18317</v>
      </c>
      <c r="P23" s="68">
        <f>MarYTD!P23-FebYTD!P23</f>
        <v>49</v>
      </c>
      <c r="R23" s="68">
        <f>MarYTD!R23-FebYTD!R23</f>
        <v>0</v>
      </c>
    </row>
    <row r="24" spans="1:18" ht="12.75" customHeight="1" outlineLevel="4" x14ac:dyDescent="0.2">
      <c r="A24" s="67" t="s">
        <v>9</v>
      </c>
      <c r="B24" s="63">
        <f t="shared" si="5"/>
        <v>119</v>
      </c>
      <c r="C24" s="63"/>
      <c r="D24" s="68">
        <f t="shared" si="6"/>
        <v>119</v>
      </c>
      <c r="E24" s="68">
        <f>MarYTD!E24-FebYTD!E24</f>
        <v>10</v>
      </c>
      <c r="F24" s="68">
        <f>MarYTD!F24-FebYTD!F24</f>
        <v>109</v>
      </c>
      <c r="G24" s="68">
        <f>MarYTD!G24-FebYTD!G24</f>
        <v>0</v>
      </c>
      <c r="H24" s="68">
        <f>MarYTD!H24-FebYTD!H24</f>
        <v>0</v>
      </c>
      <c r="I24" s="68">
        <f>MarYTD!I24-FebYTD!I24</f>
        <v>0</v>
      </c>
      <c r="J24" s="68">
        <f>MarYTD!J24-FebYTD!J24</f>
        <v>0</v>
      </c>
      <c r="K24" s="68">
        <f>MarYTD!K24-FebYTD!K24</f>
        <v>0</v>
      </c>
      <c r="L24" s="68">
        <f>MarYTD!L24-FebYTD!L24</f>
        <v>0</v>
      </c>
      <c r="M24" s="68">
        <f>MarYTD!M24-FebYTD!M24</f>
        <v>0</v>
      </c>
      <c r="N24" s="68">
        <f t="shared" si="7"/>
        <v>0</v>
      </c>
      <c r="O24" s="68">
        <f>MarYTD!O24-FebYTD!O24</f>
        <v>0</v>
      </c>
      <c r="P24" s="68">
        <f>MarYTD!P24-FebYTD!P24</f>
        <v>0</v>
      </c>
      <c r="R24" s="68">
        <f>MarYTD!R24-FebYTD!R24</f>
        <v>0</v>
      </c>
    </row>
    <row r="25" spans="1:18" ht="12.75" customHeight="1" outlineLevel="4" x14ac:dyDescent="0.2">
      <c r="A25" s="67" t="s">
        <v>10</v>
      </c>
      <c r="B25" s="63">
        <f t="shared" si="5"/>
        <v>1022</v>
      </c>
      <c r="C25" s="63"/>
      <c r="D25" s="68">
        <f t="shared" si="6"/>
        <v>1022</v>
      </c>
      <c r="E25" s="68">
        <f>MarYTD!E25-FebYTD!E25</f>
        <v>893</v>
      </c>
      <c r="F25" s="68">
        <f>MarYTD!F25-FebYTD!F25</f>
        <v>129</v>
      </c>
      <c r="G25" s="68">
        <f>MarYTD!G25-FebYTD!G25</f>
        <v>0</v>
      </c>
      <c r="H25" s="68">
        <f>MarYTD!H25-FebYTD!H25</f>
        <v>0</v>
      </c>
      <c r="I25" s="68">
        <f>MarYTD!I25-FebYTD!I25</f>
        <v>0</v>
      </c>
      <c r="J25" s="68">
        <f>MarYTD!J25-FebYTD!J25</f>
        <v>0</v>
      </c>
      <c r="K25" s="68">
        <f>MarYTD!K25-FebYTD!K25</f>
        <v>0</v>
      </c>
      <c r="L25" s="68">
        <f>MarYTD!L25-FebYTD!L25</f>
        <v>0</v>
      </c>
      <c r="M25" s="68">
        <f>MarYTD!M25-FebYTD!M25</f>
        <v>0</v>
      </c>
      <c r="N25" s="68">
        <f t="shared" si="7"/>
        <v>0</v>
      </c>
      <c r="O25" s="68">
        <f>MarYTD!O25-FebYTD!O25</f>
        <v>0</v>
      </c>
      <c r="P25" s="68">
        <f>MarYTD!P25-FebYTD!P25</f>
        <v>0</v>
      </c>
      <c r="R25" s="68">
        <f>MarYTD!R25-FebYTD!R25</f>
        <v>0</v>
      </c>
    </row>
    <row r="26" spans="1:18" ht="12.75" customHeight="1" outlineLevel="4" x14ac:dyDescent="0.2">
      <c r="A26" s="67" t="s">
        <v>11</v>
      </c>
      <c r="B26" s="63">
        <f t="shared" si="5"/>
        <v>-8199</v>
      </c>
      <c r="C26" s="63"/>
      <c r="D26" s="68">
        <f t="shared" si="6"/>
        <v>-8204</v>
      </c>
      <c r="E26" s="68">
        <f>MarYTD!E26-FebYTD!E26</f>
        <v>-8045</v>
      </c>
      <c r="F26" s="68">
        <f>MarYTD!F26-FebYTD!F26</f>
        <v>500</v>
      </c>
      <c r="G26" s="68">
        <f>MarYTD!G26-FebYTD!G26</f>
        <v>0</v>
      </c>
      <c r="H26" s="68">
        <f>MarYTD!H26-FebYTD!H26</f>
        <v>-763</v>
      </c>
      <c r="I26" s="68">
        <f>MarYTD!I26-FebYTD!I26</f>
        <v>0</v>
      </c>
      <c r="J26" s="68">
        <f>MarYTD!J26-FebYTD!J26</f>
        <v>1230</v>
      </c>
      <c r="K26" s="68">
        <f>MarYTD!K26-FebYTD!K26</f>
        <v>1</v>
      </c>
      <c r="L26" s="68">
        <f>MarYTD!L26-FebYTD!L26</f>
        <v>-74</v>
      </c>
      <c r="M26" s="68">
        <f>MarYTD!M26-FebYTD!M26</f>
        <v>0</v>
      </c>
      <c r="N26" s="68">
        <f t="shared" si="7"/>
        <v>-74</v>
      </c>
      <c r="O26" s="68">
        <f>MarYTD!O26-FebYTD!O26</f>
        <v>-1075</v>
      </c>
      <c r="P26" s="68">
        <f>MarYTD!P26-FebYTD!P26</f>
        <v>22</v>
      </c>
      <c r="R26" s="68">
        <f>MarYTD!R26-FebYTD!R26</f>
        <v>5</v>
      </c>
    </row>
    <row r="27" spans="1:18" ht="12.75" customHeight="1" outlineLevel="4" x14ac:dyDescent="0.2">
      <c r="A27" s="62" t="s">
        <v>12</v>
      </c>
      <c r="B27" s="63">
        <f t="shared" si="5"/>
        <v>-915</v>
      </c>
      <c r="C27" s="63"/>
      <c r="D27" s="68">
        <f t="shared" si="6"/>
        <v>-915</v>
      </c>
      <c r="E27" s="68">
        <f>MarYTD!E27-FebYTD!E27</f>
        <v>-510</v>
      </c>
      <c r="F27" s="68">
        <f>MarYTD!F27-FebYTD!F27</f>
        <v>-405</v>
      </c>
      <c r="G27" s="68">
        <f>MarYTD!G27-FebYTD!G27</f>
        <v>0</v>
      </c>
      <c r="H27" s="68">
        <f>MarYTD!H27-FebYTD!H27</f>
        <v>0</v>
      </c>
      <c r="I27" s="68">
        <f>MarYTD!I27-FebYTD!I27</f>
        <v>0</v>
      </c>
      <c r="J27" s="68">
        <f>MarYTD!J27-FebYTD!J27</f>
        <v>0</v>
      </c>
      <c r="K27" s="68">
        <f>MarYTD!K27-FebYTD!K27</f>
        <v>0</v>
      </c>
      <c r="L27" s="68">
        <f>MarYTD!L27-FebYTD!L27</f>
        <v>0</v>
      </c>
      <c r="M27" s="68">
        <f>MarYTD!M27-FebYTD!M27</f>
        <v>0</v>
      </c>
      <c r="N27" s="68">
        <f t="shared" si="7"/>
        <v>0</v>
      </c>
      <c r="O27" s="68">
        <f>MarYTD!O27-FebYTD!O27</f>
        <v>0</v>
      </c>
      <c r="P27" s="68">
        <f>MarYTD!P27-FebYTD!P27</f>
        <v>0</v>
      </c>
      <c r="R27" s="68">
        <f>MarYTD!R27-FebYTD!R27</f>
        <v>0</v>
      </c>
    </row>
    <row r="28" spans="1:18" ht="12.75" customHeight="1" outlineLevel="4" x14ac:dyDescent="0.2">
      <c r="A28" s="67" t="s">
        <v>13</v>
      </c>
      <c r="B28" s="63">
        <f t="shared" si="5"/>
        <v>-2290</v>
      </c>
      <c r="C28" s="63"/>
      <c r="D28" s="68">
        <f t="shared" si="6"/>
        <v>-2328</v>
      </c>
      <c r="E28" s="68">
        <f>MarYTD!E28-FebYTD!E28</f>
        <v>-353</v>
      </c>
      <c r="F28" s="68">
        <f>MarYTD!F28-FebYTD!F28</f>
        <v>764</v>
      </c>
      <c r="G28" s="68">
        <f>MarYTD!G28-FebYTD!G28</f>
        <v>0</v>
      </c>
      <c r="H28" s="68">
        <f>MarYTD!H28-FebYTD!H28</f>
        <v>-4</v>
      </c>
      <c r="I28" s="68">
        <f>MarYTD!I28-FebYTD!I28</f>
        <v>0</v>
      </c>
      <c r="J28" s="68">
        <f>MarYTD!J28-FebYTD!J28</f>
        <v>0</v>
      </c>
      <c r="K28" s="68">
        <f>MarYTD!K28-FebYTD!K28</f>
        <v>-1</v>
      </c>
      <c r="L28" s="68">
        <f>MarYTD!L28-FebYTD!L28</f>
        <v>0</v>
      </c>
      <c r="M28" s="68">
        <f>MarYTD!M28-FebYTD!M28</f>
        <v>-2734</v>
      </c>
      <c r="N28" s="68">
        <f t="shared" si="7"/>
        <v>-2734</v>
      </c>
      <c r="O28" s="68">
        <f>MarYTD!O28-FebYTD!O28</f>
        <v>0</v>
      </c>
      <c r="P28" s="68">
        <f>MarYTD!P28-FebYTD!P28</f>
        <v>0</v>
      </c>
      <c r="R28" s="68">
        <f>MarYTD!R28-FebYTD!R28</f>
        <v>38</v>
      </c>
    </row>
    <row r="29" spans="1:18" ht="12.75" customHeight="1" outlineLevel="4" x14ac:dyDescent="0.2">
      <c r="A29" s="67" t="s">
        <v>14</v>
      </c>
      <c r="B29" s="63">
        <f t="shared" si="5"/>
        <v>-1865</v>
      </c>
      <c r="C29" s="63"/>
      <c r="D29" s="68">
        <f t="shared" si="6"/>
        <v>-1865</v>
      </c>
      <c r="E29" s="68">
        <f>MarYTD!E29-FebYTD!E29</f>
        <v>-2187</v>
      </c>
      <c r="F29" s="68">
        <f>MarYTD!F29-FebYTD!F29</f>
        <v>322</v>
      </c>
      <c r="G29" s="68">
        <f>MarYTD!G29-FebYTD!G29</f>
        <v>0</v>
      </c>
      <c r="H29" s="68">
        <f>MarYTD!H29-FebYTD!H29</f>
        <v>0</v>
      </c>
      <c r="I29" s="68">
        <f>MarYTD!I29-FebYTD!I29</f>
        <v>0</v>
      </c>
      <c r="J29" s="68">
        <f>MarYTD!J29-FebYTD!J29</f>
        <v>0</v>
      </c>
      <c r="K29" s="68">
        <f>MarYTD!K29-FebYTD!K29</f>
        <v>0</v>
      </c>
      <c r="L29" s="68">
        <f>MarYTD!L29-FebYTD!L29</f>
        <v>0</v>
      </c>
      <c r="M29" s="68">
        <f>MarYTD!M29-FebYTD!M29</f>
        <v>0</v>
      </c>
      <c r="N29" s="68">
        <f t="shared" si="7"/>
        <v>0</v>
      </c>
      <c r="O29" s="68">
        <f>MarYTD!O29-FebYTD!O29</f>
        <v>0</v>
      </c>
      <c r="P29" s="68">
        <f>MarYTD!P29-FebYTD!P29</f>
        <v>0</v>
      </c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5"/>
        <v>-1737</v>
      </c>
      <c r="C30" s="63"/>
      <c r="D30" s="68">
        <f t="shared" si="6"/>
        <v>-1737</v>
      </c>
      <c r="E30" s="68">
        <f>MarYTD!E30-FebYTD!E30</f>
        <v>-2328</v>
      </c>
      <c r="F30" s="68">
        <f>MarYTD!F30-FebYTD!F30</f>
        <v>229</v>
      </c>
      <c r="G30" s="68">
        <f>MarYTD!G30-FebYTD!G30</f>
        <v>0</v>
      </c>
      <c r="H30" s="68">
        <f>MarYTD!H30-FebYTD!H30</f>
        <v>123</v>
      </c>
      <c r="I30" s="68">
        <f>MarYTD!I30-FebYTD!I30</f>
        <v>0</v>
      </c>
      <c r="J30" s="68">
        <f>MarYTD!J30-FebYTD!J30</f>
        <v>0</v>
      </c>
      <c r="K30" s="68">
        <f>MarYTD!K30-FebYTD!K30</f>
        <v>0</v>
      </c>
      <c r="L30" s="68">
        <f>MarYTD!L30-FebYTD!L30</f>
        <v>3</v>
      </c>
      <c r="M30" s="68">
        <f>MarYTD!M30-FebYTD!M30</f>
        <v>0</v>
      </c>
      <c r="N30" s="68">
        <f t="shared" si="7"/>
        <v>3</v>
      </c>
      <c r="O30" s="68">
        <f>MarYTD!O30-FebYTD!O30</f>
        <v>236</v>
      </c>
      <c r="P30" s="68">
        <f>MarYTD!P30-FebYTD!P30</f>
        <v>0</v>
      </c>
      <c r="R30" s="68">
        <f>MarYTD!R30-FebYTD!R30</f>
        <v>0</v>
      </c>
    </row>
    <row r="31" spans="1:18" ht="12.75" customHeight="1" outlineLevel="4" x14ac:dyDescent="0.2">
      <c r="A31" s="67" t="s">
        <v>33</v>
      </c>
      <c r="B31" s="84">
        <f>SUM(B21:B30)</f>
        <v>-3151</v>
      </c>
      <c r="C31" s="74"/>
      <c r="D31" s="84">
        <f t="shared" ref="D31:P31" si="8">SUM(D21:D30)</f>
        <v>-3025</v>
      </c>
      <c r="E31" s="84">
        <f t="shared" si="8"/>
        <v>-17579</v>
      </c>
      <c r="F31" s="84">
        <f t="shared" si="8"/>
        <v>-3787</v>
      </c>
      <c r="G31" s="84">
        <f t="shared" si="8"/>
        <v>0</v>
      </c>
      <c r="H31" s="84">
        <f t="shared" si="8"/>
        <v>-665</v>
      </c>
      <c r="I31" s="84">
        <f t="shared" si="8"/>
        <v>0</v>
      </c>
      <c r="J31" s="84">
        <f t="shared" si="8"/>
        <v>1922</v>
      </c>
      <c r="K31" s="84">
        <f t="shared" si="8"/>
        <v>-90</v>
      </c>
      <c r="L31" s="84">
        <f t="shared" si="8"/>
        <v>-6</v>
      </c>
      <c r="M31" s="84">
        <f t="shared" si="8"/>
        <v>-2734</v>
      </c>
      <c r="N31" s="84">
        <f t="shared" si="8"/>
        <v>-2740</v>
      </c>
      <c r="O31" s="84">
        <f t="shared" si="8"/>
        <v>19887</v>
      </c>
      <c r="P31" s="84">
        <f t="shared" si="8"/>
        <v>27</v>
      </c>
      <c r="R31" s="84">
        <f>SUM(R21:R30)</f>
        <v>-126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14652.122000000018</v>
      </c>
      <c r="C33" s="63"/>
      <c r="D33" s="75">
        <f>D19+D31</f>
        <v>14327.659000000021</v>
      </c>
      <c r="E33" s="75">
        <f>E19+E31</f>
        <v>3600.4300000000185</v>
      </c>
      <c r="F33" s="75">
        <f t="shared" ref="F33:M33" si="9">F19+F31</f>
        <v>2625.3370000000032</v>
      </c>
      <c r="G33" s="75">
        <f t="shared" si="9"/>
        <v>0</v>
      </c>
      <c r="H33" s="75">
        <f t="shared" si="9"/>
        <v>-542.14099999999985</v>
      </c>
      <c r="I33" s="75">
        <f t="shared" si="9"/>
        <v>0.71399999999999719</v>
      </c>
      <c r="J33" s="75">
        <f t="shared" si="9"/>
        <v>1635.2669999999998</v>
      </c>
      <c r="K33" s="75">
        <f t="shared" si="9"/>
        <v>-67.703999999999979</v>
      </c>
      <c r="L33" s="75">
        <f t="shared" si="9"/>
        <v>-9.3730000000000011</v>
      </c>
      <c r="M33" s="75">
        <f t="shared" si="9"/>
        <v>-19480</v>
      </c>
      <c r="N33" s="75">
        <f>N19+N31</f>
        <v>-19489.373</v>
      </c>
      <c r="O33" s="75">
        <f>O19+O31</f>
        <v>26506.129999999997</v>
      </c>
      <c r="P33" s="75">
        <f>P19+P31</f>
        <v>58.999000000000002</v>
      </c>
      <c r="R33" s="75">
        <f>R19+R31</f>
        <v>324.46300000000019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10">D36+R36</f>
        <v>5200</v>
      </c>
      <c r="C36" s="63"/>
      <c r="D36" s="68">
        <f>SUM(E36:M36)+O36+P36</f>
        <v>5200</v>
      </c>
      <c r="E36" s="68">
        <f>MarYTD!E36-FebYTD!E36</f>
        <v>5200</v>
      </c>
      <c r="F36" s="68">
        <f>MarYTD!F36-FebYTD!F36</f>
        <v>0</v>
      </c>
      <c r="G36" s="68">
        <f>MarYTD!G36-FebYTD!G36</f>
        <v>0</v>
      </c>
      <c r="H36" s="68">
        <f>MarYTD!H36-FebYTD!H36</f>
        <v>0</v>
      </c>
      <c r="I36" s="68">
        <f>MarYTD!I36-FebYTD!I36</f>
        <v>0</v>
      </c>
      <c r="J36" s="68">
        <f>MarYTD!J36-FebYTD!J36</f>
        <v>0</v>
      </c>
      <c r="K36" s="68">
        <f>MarYTD!K36-FebYTD!K36</f>
        <v>0</v>
      </c>
      <c r="L36" s="68">
        <f>MarYTD!L36-FebYTD!L36</f>
        <v>0</v>
      </c>
      <c r="M36" s="68">
        <f>MarYTD!M36-FebYTD!M36</f>
        <v>0</v>
      </c>
      <c r="N36" s="76"/>
      <c r="O36" s="68">
        <f>MarYTD!O36-FebYTD!O36</f>
        <v>0</v>
      </c>
      <c r="P36" s="68">
        <f>MarYTD!P36-FebYTD!P36</f>
        <v>0</v>
      </c>
    </row>
    <row r="37" spans="1:18" ht="12.75" customHeight="1" outlineLevel="4" x14ac:dyDescent="0.2">
      <c r="A37" s="62" t="s">
        <v>17</v>
      </c>
      <c r="B37" s="63">
        <f t="shared" si="10"/>
        <v>-6059</v>
      </c>
      <c r="C37" s="63"/>
      <c r="D37" s="68">
        <f>SUM(E37:M37)+O37+P37</f>
        <v>-6059</v>
      </c>
      <c r="E37" s="68">
        <f>MarYTD!E37-FebYTD!E37</f>
        <v>-3899</v>
      </c>
      <c r="F37" s="68">
        <f>MarYTD!F37-FebYTD!F37</f>
        <v>-2160</v>
      </c>
      <c r="G37" s="68">
        <f>MarYTD!G37-FebYTD!G37</f>
        <v>0</v>
      </c>
      <c r="H37" s="68">
        <f>MarYTD!H37-FebYTD!H37</f>
        <v>0</v>
      </c>
      <c r="I37" s="68">
        <f>MarYTD!I37-FebYTD!I37</f>
        <v>0</v>
      </c>
      <c r="J37" s="68">
        <f>MarYTD!J37-FebYTD!J37</f>
        <v>0</v>
      </c>
      <c r="K37" s="68">
        <f>MarYTD!K37-FebYTD!K37</f>
        <v>0</v>
      </c>
      <c r="L37" s="68">
        <f>MarYTD!L37-FebYTD!L37</f>
        <v>0</v>
      </c>
      <c r="M37" s="68">
        <f>MarYTD!M37-FebYTD!M37</f>
        <v>0</v>
      </c>
      <c r="N37" s="68">
        <f t="shared" ref="N37:N42" si="11">M37+L37</f>
        <v>0</v>
      </c>
      <c r="O37" s="68">
        <f>MarYTD!O37-FebYTD!O37</f>
        <v>0</v>
      </c>
      <c r="P37" s="68">
        <f>MarYTD!P37-FebYTD!P37</f>
        <v>0</v>
      </c>
    </row>
    <row r="38" spans="1:18" ht="12.75" customHeight="1" outlineLevel="4" x14ac:dyDescent="0.2">
      <c r="A38" s="62" t="s">
        <v>104</v>
      </c>
      <c r="B38" s="63">
        <f t="shared" si="10"/>
        <v>3548</v>
      </c>
      <c r="C38" s="63"/>
      <c r="D38" s="68">
        <f>SUM(E38:M38)+O38+P38</f>
        <v>3548</v>
      </c>
      <c r="E38" s="68">
        <f>MarYTD!E38-FebYTD!E38</f>
        <v>3705</v>
      </c>
      <c r="F38" s="68">
        <f>MarYTD!F38-FebYTD!F38</f>
        <v>-157</v>
      </c>
      <c r="G38" s="68">
        <f>MarYTD!G38-FebYTD!G38</f>
        <v>0</v>
      </c>
      <c r="H38" s="68">
        <f>MarYTD!H38-FebYTD!H38</f>
        <v>0</v>
      </c>
      <c r="I38" s="68">
        <f>MarYTD!I38-FebYTD!I38</f>
        <v>0</v>
      </c>
      <c r="J38" s="68">
        <f>MarYTD!J38-FebYTD!J38</f>
        <v>0</v>
      </c>
      <c r="K38" s="68">
        <f>MarYTD!K38-FebYTD!K38</f>
        <v>0</v>
      </c>
      <c r="L38" s="68">
        <f>MarYTD!L38-FebYTD!L38</f>
        <v>0</v>
      </c>
      <c r="M38" s="68">
        <f>MarYTD!M38-FebYTD!M38</f>
        <v>0</v>
      </c>
      <c r="N38" s="68">
        <f t="shared" si="11"/>
        <v>0</v>
      </c>
      <c r="O38" s="68">
        <f>MarYTD!O38-FebYTD!O38</f>
        <v>0</v>
      </c>
      <c r="P38" s="68">
        <f>MarYTD!P38-FebYTD!P38</f>
        <v>0</v>
      </c>
    </row>
    <row r="39" spans="1:18" ht="12.75" customHeight="1" outlineLevel="4" x14ac:dyDescent="0.2">
      <c r="A39" s="62" t="s">
        <v>105</v>
      </c>
      <c r="B39" s="63">
        <f t="shared" si="10"/>
        <v>-12700</v>
      </c>
      <c r="C39" s="63"/>
      <c r="D39" s="68">
        <f>SUM(E39:P39)</f>
        <v>0</v>
      </c>
      <c r="E39" s="68">
        <f>MarYTD!E39-FebYTD!E39</f>
        <v>0</v>
      </c>
      <c r="F39" s="68">
        <f>MarYTD!F39-FebYTD!F39</f>
        <v>0</v>
      </c>
      <c r="G39" s="68">
        <f>MarYTD!G39-FebYTD!G39</f>
        <v>0</v>
      </c>
      <c r="H39" s="68">
        <f>MarYTD!H39-FebYTD!H39</f>
        <v>0</v>
      </c>
      <c r="I39" s="68">
        <f>MarYTD!I39-FebYTD!I39</f>
        <v>0</v>
      </c>
      <c r="J39" s="68">
        <f>MarYTD!J39-FebYTD!J39</f>
        <v>0</v>
      </c>
      <c r="K39" s="68">
        <f>MarYTD!K39-FebYTD!K39</f>
        <v>0</v>
      </c>
      <c r="L39" s="68">
        <f>MarYTD!L39-FebYTD!L39</f>
        <v>0</v>
      </c>
      <c r="M39" s="68">
        <f>MarYTD!M39-FebYTD!M39</f>
        <v>0</v>
      </c>
      <c r="N39" s="68">
        <f t="shared" si="11"/>
        <v>0</v>
      </c>
      <c r="O39" s="68">
        <f>MarYTD!O39-FebYTD!O39</f>
        <v>0</v>
      </c>
      <c r="P39" s="68">
        <f>MarYTD!P39-FebYTD!P39</f>
        <v>0</v>
      </c>
      <c r="R39" s="68">
        <f>MarYTD!R39-FebYTD!R39</f>
        <v>-12700</v>
      </c>
    </row>
    <row r="40" spans="1:18" ht="12.75" customHeight="1" outlineLevel="4" x14ac:dyDescent="0.2">
      <c r="A40" s="62" t="s">
        <v>106</v>
      </c>
      <c r="B40" s="63" t="e">
        <f t="shared" si="10"/>
        <v>#REF!</v>
      </c>
      <c r="C40" s="63"/>
      <c r="D40" s="68"/>
      <c r="E40" s="68" t="e">
        <f>MarYTD!#REF!-FebYTD!E40</f>
        <v>#REF!</v>
      </c>
      <c r="F40" s="68" t="e">
        <f>MarYTD!#REF!-FebYTD!F40</f>
        <v>#REF!</v>
      </c>
      <c r="G40" s="68" t="e">
        <f>MarYTD!#REF!-FebYTD!G40</f>
        <v>#REF!</v>
      </c>
      <c r="H40" s="68" t="e">
        <f>MarYTD!#REF!-FebYTD!H40</f>
        <v>#REF!</v>
      </c>
      <c r="I40" s="68" t="e">
        <f>MarYTD!#REF!-FebYTD!I40</f>
        <v>#REF!</v>
      </c>
      <c r="J40" s="68" t="e">
        <f>MarYTD!#REF!-FebYTD!J40</f>
        <v>#REF!</v>
      </c>
      <c r="K40" s="68" t="e">
        <f>MarYTD!#REF!-FebYTD!K40</f>
        <v>#REF!</v>
      </c>
      <c r="L40" s="68" t="e">
        <f>MarYTD!#REF!-FebYTD!L40</f>
        <v>#REF!</v>
      </c>
      <c r="M40" s="68" t="e">
        <f>MarYTD!#REF!-FebYTD!M40</f>
        <v>#REF!</v>
      </c>
      <c r="N40" s="68" t="e">
        <f t="shared" si="11"/>
        <v>#REF!</v>
      </c>
      <c r="O40" s="68" t="e">
        <f>MarYTD!#REF!-FebYTD!O40</f>
        <v>#REF!</v>
      </c>
      <c r="P40" s="68" t="e">
        <f>MarYTD!#REF!-FebYTD!P40</f>
        <v>#REF!</v>
      </c>
      <c r="R40" s="68" t="e">
        <f>MarYTD!#REF!-FebYTD!R40</f>
        <v>#REF!</v>
      </c>
    </row>
    <row r="41" spans="1:18" ht="12.75" customHeight="1" outlineLevel="4" x14ac:dyDescent="0.2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MarYTD!E40-FebYTD!E41</f>
        <v>0</v>
      </c>
      <c r="F41" s="68">
        <f>MarYTD!F40-FebYTD!F41</f>
        <v>0</v>
      </c>
      <c r="G41" s="68">
        <f>MarYTD!G40-FebYTD!G41</f>
        <v>0</v>
      </c>
      <c r="H41" s="68">
        <f>MarYTD!H40-FebYTD!H41</f>
        <v>0</v>
      </c>
      <c r="I41" s="68">
        <f>MarYTD!I40-FebYTD!I41</f>
        <v>0</v>
      </c>
      <c r="J41" s="68">
        <f>MarYTD!J40-FebYTD!J41</f>
        <v>0</v>
      </c>
      <c r="K41" s="68">
        <f>MarYTD!K40-FebYTD!K41</f>
        <v>0</v>
      </c>
      <c r="L41" s="68">
        <f>MarYTD!L40-FebYTD!L41</f>
        <v>0</v>
      </c>
      <c r="M41" s="68">
        <f>MarYTD!M40-FebYTD!M41</f>
        <v>0</v>
      </c>
      <c r="N41" s="68">
        <f t="shared" si="11"/>
        <v>0</v>
      </c>
      <c r="O41" s="68">
        <f>MarYTD!O40-FebYTD!O41</f>
        <v>0</v>
      </c>
      <c r="P41" s="68">
        <f>MarYTD!P40-FebYTD!P41</f>
        <v>0</v>
      </c>
      <c r="R41" s="68">
        <f>MarYTD!R40-FebYTD!R41</f>
        <v>0</v>
      </c>
    </row>
    <row r="42" spans="1:18" ht="12.75" customHeight="1" outlineLevel="4" x14ac:dyDescent="0.2">
      <c r="A42" s="67" t="s">
        <v>41</v>
      </c>
      <c r="B42" s="69">
        <f t="shared" si="10"/>
        <v>14</v>
      </c>
      <c r="C42" s="63"/>
      <c r="D42" s="70">
        <f>SUM(E42:M42)+O42+P42</f>
        <v>14</v>
      </c>
      <c r="E42" s="70">
        <f>MarYTD!E41-FebYTD!E42</f>
        <v>14</v>
      </c>
      <c r="F42" s="70">
        <f>MarYTD!F41-FebYTD!F42</f>
        <v>0</v>
      </c>
      <c r="G42" s="70">
        <f>MarYTD!G41-FebYTD!G42</f>
        <v>0</v>
      </c>
      <c r="H42" s="70">
        <f>MarYTD!H41-FebYTD!H42</f>
        <v>0</v>
      </c>
      <c r="I42" s="70">
        <f>MarYTD!I41-FebYTD!I42</f>
        <v>0</v>
      </c>
      <c r="J42" s="70">
        <f>MarYTD!J41-FebYTD!J42</f>
        <v>0</v>
      </c>
      <c r="K42" s="70">
        <f>MarYTD!K41-FebYTD!K42</f>
        <v>0</v>
      </c>
      <c r="L42" s="70">
        <f>MarYTD!L41-FebYTD!L42</f>
        <v>0</v>
      </c>
      <c r="M42" s="70">
        <f>MarYTD!M41-FebYTD!M42</f>
        <v>0</v>
      </c>
      <c r="N42" s="70">
        <f t="shared" si="11"/>
        <v>0</v>
      </c>
      <c r="O42" s="70">
        <f>MarYTD!O41-FebYTD!O42</f>
        <v>0</v>
      </c>
      <c r="P42" s="70">
        <f>MarYTD!P41-FebYTD!P42</f>
        <v>0</v>
      </c>
      <c r="R42" s="55"/>
    </row>
    <row r="43" spans="1:18" ht="12.75" customHeight="1" outlineLevel="3" x14ac:dyDescent="0.2">
      <c r="A43" s="62" t="s">
        <v>18</v>
      </c>
      <c r="B43" s="75" t="e">
        <f t="shared" ref="B43:P43" si="12">SUM(B36:B42)</f>
        <v>#REF!</v>
      </c>
      <c r="C43" s="77">
        <f t="shared" si="12"/>
        <v>0</v>
      </c>
      <c r="D43" s="75">
        <f t="shared" si="12"/>
        <v>2703</v>
      </c>
      <c r="E43" s="75" t="e">
        <f t="shared" si="12"/>
        <v>#REF!</v>
      </c>
      <c r="F43" s="75" t="e">
        <f t="shared" si="12"/>
        <v>#REF!</v>
      </c>
      <c r="G43" s="75" t="e">
        <f t="shared" si="12"/>
        <v>#REF!</v>
      </c>
      <c r="H43" s="75" t="e">
        <f t="shared" si="12"/>
        <v>#REF!</v>
      </c>
      <c r="I43" s="75" t="e">
        <f t="shared" si="12"/>
        <v>#REF!</v>
      </c>
      <c r="J43" s="75" t="e">
        <f t="shared" si="12"/>
        <v>#REF!</v>
      </c>
      <c r="K43" s="75" t="e">
        <f t="shared" si="12"/>
        <v>#REF!</v>
      </c>
      <c r="L43" s="75" t="e">
        <f t="shared" si="12"/>
        <v>#REF!</v>
      </c>
      <c r="M43" s="75" t="e">
        <f t="shared" si="12"/>
        <v>#REF!</v>
      </c>
      <c r="N43" s="75" t="e">
        <f t="shared" si="12"/>
        <v>#REF!</v>
      </c>
      <c r="O43" s="75" t="e">
        <f t="shared" si="12"/>
        <v>#REF!</v>
      </c>
      <c r="P43" s="75" t="e">
        <f t="shared" si="12"/>
        <v>#REF!</v>
      </c>
      <c r="R43" s="73" t="e">
        <f>SUM(R36:R42)</f>
        <v>#REF!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MarYTD!E45-FebYTD!E46</f>
        <v>0</v>
      </c>
      <c r="F46" s="68">
        <f>MarYTD!F45-FebYTD!F46</f>
        <v>0</v>
      </c>
      <c r="G46" s="68">
        <f>MarYTD!G45-FebYTD!G46</f>
        <v>0</v>
      </c>
      <c r="H46" s="68">
        <f>MarYTD!H45-FebYTD!H46</f>
        <v>0</v>
      </c>
      <c r="I46" s="68">
        <f>MarYTD!I45-FebYTD!I46</f>
        <v>0</v>
      </c>
      <c r="J46" s="68">
        <f>MarYTD!J45-FebYTD!J46</f>
        <v>0</v>
      </c>
      <c r="K46" s="68">
        <f>MarYTD!K45-FebYTD!K46</f>
        <v>0</v>
      </c>
      <c r="L46" s="68">
        <f>MarYTD!L45-FebYTD!L46</f>
        <v>0</v>
      </c>
      <c r="M46" s="68">
        <f>MarYTD!M45-FebYTD!M46</f>
        <v>0</v>
      </c>
      <c r="N46" s="68"/>
      <c r="O46" s="68">
        <f>MarYTD!O45-FebYTD!O46</f>
        <v>0</v>
      </c>
      <c r="P46" s="68">
        <f>MarYTD!P45-FebYTD!P46</f>
        <v>0</v>
      </c>
    </row>
    <row r="47" spans="1:18" ht="12.75" customHeight="1" outlineLevel="4" x14ac:dyDescent="0.2">
      <c r="A47" s="67" t="s">
        <v>45</v>
      </c>
      <c r="B47" s="63">
        <f>D47+R47</f>
        <v>250000</v>
      </c>
      <c r="C47" s="63"/>
      <c r="D47" s="68">
        <f>SUM(E47:M47)+O47+P47</f>
        <v>250000</v>
      </c>
      <c r="E47" s="68">
        <f>MarYTD!E46-FebYTD!E47</f>
        <v>0</v>
      </c>
      <c r="F47" s="68">
        <f>MarYTD!F46-FebYTD!F47</f>
        <v>250000</v>
      </c>
      <c r="G47" s="68">
        <f>MarYTD!G46-FebYTD!G47</f>
        <v>0</v>
      </c>
      <c r="H47" s="68">
        <f>MarYTD!H46-FebYTD!H47</f>
        <v>0</v>
      </c>
      <c r="I47" s="68">
        <f>MarYTD!I46-FebYTD!I47</f>
        <v>0</v>
      </c>
      <c r="J47" s="68">
        <f>MarYTD!J46-FebYTD!J47</f>
        <v>0</v>
      </c>
      <c r="K47" s="68">
        <f>MarYTD!K46-FebYTD!K47</f>
        <v>0</v>
      </c>
      <c r="L47" s="68">
        <f>MarYTD!L46-FebYTD!L47</f>
        <v>0</v>
      </c>
      <c r="M47" s="68">
        <f>MarYTD!M46-FebYTD!M47</f>
        <v>0</v>
      </c>
      <c r="N47" s="68"/>
      <c r="O47" s="68">
        <f>MarYTD!O46-FebYTD!O47</f>
        <v>0</v>
      </c>
      <c r="P47" s="68">
        <f>MarYTD!P46-FebYTD!P47</f>
        <v>0</v>
      </c>
    </row>
    <row r="48" spans="1:18" ht="12.75" customHeight="1" outlineLevel="4" x14ac:dyDescent="0.2">
      <c r="A48" s="67" t="s">
        <v>46</v>
      </c>
      <c r="B48" s="63">
        <f>D48+R48</f>
        <v>-100000</v>
      </c>
      <c r="C48" s="63"/>
      <c r="D48" s="68">
        <f>SUM(E48:P48)</f>
        <v>-100000</v>
      </c>
      <c r="E48" s="68">
        <f>MarYTD!E47-FebYTD!E48</f>
        <v>0</v>
      </c>
      <c r="F48" s="68">
        <f>MarYTD!F47-FebYTD!F48</f>
        <v>-100000</v>
      </c>
      <c r="G48" s="68">
        <f>MarYTD!G47-FebYTD!G48</f>
        <v>0</v>
      </c>
      <c r="H48" s="68">
        <f>MarYTD!H47-FebYTD!H48</f>
        <v>0</v>
      </c>
      <c r="I48" s="68">
        <f>MarYTD!I47-FebYTD!I48</f>
        <v>0</v>
      </c>
      <c r="J48" s="68">
        <f>MarYTD!J47-FebYTD!J48</f>
        <v>0</v>
      </c>
      <c r="K48" s="68">
        <f>MarYTD!K47-FebYTD!K48</f>
        <v>0</v>
      </c>
      <c r="L48" s="68">
        <f>MarYTD!L47-FebYTD!L48</f>
        <v>0</v>
      </c>
      <c r="M48" s="68">
        <f>MarYTD!M47-FebYTD!M48</f>
        <v>0</v>
      </c>
      <c r="N48" s="68"/>
      <c r="O48" s="68">
        <f>MarYTD!O47-FebYTD!O48</f>
        <v>0</v>
      </c>
      <c r="P48" s="68">
        <f>MarYTD!P47-FebYTD!P48</f>
        <v>0</v>
      </c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MarYTD!E48-FebYTD!E49</f>
        <v>0</v>
      </c>
      <c r="F49" s="68">
        <f>MarYTD!F48-FebYTD!F49</f>
        <v>0</v>
      </c>
      <c r="G49" s="68">
        <f>MarYTD!G48-FebYTD!G49</f>
        <v>0</v>
      </c>
      <c r="H49" s="68">
        <f>MarYTD!H48-FebYTD!H49</f>
        <v>0</v>
      </c>
      <c r="I49" s="68">
        <f>MarYTD!I48-FebYTD!I49</f>
        <v>0</v>
      </c>
      <c r="J49" s="68">
        <f>MarYTD!J48-FebYTD!J49</f>
        <v>0</v>
      </c>
      <c r="K49" s="68">
        <f>MarYTD!K48-FebYTD!K49</f>
        <v>0</v>
      </c>
      <c r="L49" s="68">
        <f>MarYTD!L48-FebYTD!L49</f>
        <v>0</v>
      </c>
      <c r="M49" s="68">
        <f>MarYTD!M48-FebYTD!M49</f>
        <v>0</v>
      </c>
      <c r="N49" s="68"/>
      <c r="O49" s="68">
        <f>MarYTD!O48-FebYTD!O49</f>
        <v>0</v>
      </c>
      <c r="P49" s="68">
        <f>MarYTD!P48-FebYTD!P49</f>
        <v>0</v>
      </c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MarYTD!E49-FebYTD!E50</f>
        <v>0</v>
      </c>
      <c r="F50" s="68">
        <f>MarYTD!F49-FebYTD!F50</f>
        <v>0</v>
      </c>
      <c r="G50" s="68">
        <f>MarYTD!G49-FebYTD!G50</f>
        <v>0</v>
      </c>
      <c r="H50" s="68">
        <f>MarYTD!H49-FebYTD!H50</f>
        <v>0</v>
      </c>
      <c r="I50" s="68">
        <f>MarYTD!I49-FebYTD!I50</f>
        <v>0</v>
      </c>
      <c r="J50" s="68">
        <f>MarYTD!J49-FebYTD!J50</f>
        <v>0</v>
      </c>
      <c r="K50" s="68">
        <f>MarYTD!K49-FebYTD!K50</f>
        <v>0</v>
      </c>
      <c r="L50" s="68">
        <f>MarYTD!L49-FebYTD!L50</f>
        <v>0</v>
      </c>
      <c r="M50" s="68">
        <f>MarYTD!M49-FebYTD!M50</f>
        <v>0</v>
      </c>
      <c r="N50" s="72"/>
      <c r="O50" s="68">
        <f>MarYTD!O49-FebYTD!O50</f>
        <v>0</v>
      </c>
      <c r="P50" s="68">
        <f>MarYTD!P49-FebYTD!P50</f>
        <v>0</v>
      </c>
      <c r="R50" s="55"/>
    </row>
    <row r="51" spans="1:18" ht="12.75" customHeight="1" outlineLevel="3" x14ac:dyDescent="0.2">
      <c r="A51" s="62" t="s">
        <v>19</v>
      </c>
      <c r="B51" s="79">
        <f>SUM(B46:B50)</f>
        <v>150000</v>
      </c>
      <c r="C51" s="63"/>
      <c r="D51" s="79">
        <f t="shared" ref="D51:P51" si="13">SUM(D46:D50)</f>
        <v>150000</v>
      </c>
      <c r="E51" s="79">
        <f t="shared" si="13"/>
        <v>0</v>
      </c>
      <c r="F51" s="79">
        <f t="shared" si="13"/>
        <v>150000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 t="e">
        <f>B33+B43+B51</f>
        <v>#REF!</v>
      </c>
      <c r="C53" s="63"/>
      <c r="D53" s="77">
        <f>D33+D43+D51</f>
        <v>167030.65900000001</v>
      </c>
      <c r="E53" s="77" t="e">
        <f>E33+E43+E51</f>
        <v>#REF!</v>
      </c>
      <c r="F53" s="77" t="e">
        <f t="shared" ref="F53:M53" si="14">F33+F43+F51</f>
        <v>#REF!</v>
      </c>
      <c r="G53" s="77" t="e">
        <f t="shared" si="14"/>
        <v>#REF!</v>
      </c>
      <c r="H53" s="77" t="e">
        <f t="shared" si="14"/>
        <v>#REF!</v>
      </c>
      <c r="I53" s="77" t="e">
        <f t="shared" si="14"/>
        <v>#REF!</v>
      </c>
      <c r="J53" s="77" t="e">
        <f t="shared" si="14"/>
        <v>#REF!</v>
      </c>
      <c r="K53" s="77" t="e">
        <f t="shared" si="14"/>
        <v>#REF!</v>
      </c>
      <c r="L53" s="77" t="e">
        <f t="shared" si="14"/>
        <v>#REF!</v>
      </c>
      <c r="M53" s="77" t="e">
        <f t="shared" si="14"/>
        <v>#REF!</v>
      </c>
      <c r="N53" s="77" t="e">
        <f>M53+L53</f>
        <v>#REF!</v>
      </c>
      <c r="O53" s="77" t="e">
        <f>O33+O43+O51</f>
        <v>#REF!</v>
      </c>
      <c r="P53" s="77" t="e">
        <f>P33+P43+P51</f>
        <v>#REF!</v>
      </c>
      <c r="R53" s="77" t="e">
        <f>R33+R43+R51</f>
        <v>#REF!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67</v>
      </c>
      <c r="C55" s="63"/>
      <c r="D55" s="70">
        <f>SUM(E55:M55)+O55+P55</f>
        <v>-40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MarYTD!P54-FebYTD!P55</f>
        <v>-40</v>
      </c>
      <c r="R55" s="70">
        <f>MarYTD!R54-FebYTD!R55</f>
        <v>107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 t="e">
        <f>B55+B53</f>
        <v>#REF!</v>
      </c>
      <c r="C57" s="63"/>
      <c r="D57" s="81">
        <f t="shared" ref="D57:P57" si="15">D55+D53</f>
        <v>166990.65900000001</v>
      </c>
      <c r="E57" s="81" t="e">
        <f t="shared" si="15"/>
        <v>#REF!</v>
      </c>
      <c r="F57" s="81" t="e">
        <f t="shared" si="15"/>
        <v>#REF!</v>
      </c>
      <c r="G57" s="81" t="e">
        <f t="shared" si="15"/>
        <v>#REF!</v>
      </c>
      <c r="H57" s="81" t="e">
        <f t="shared" si="15"/>
        <v>#REF!</v>
      </c>
      <c r="I57" s="81" t="e">
        <f t="shared" si="15"/>
        <v>#REF!</v>
      </c>
      <c r="J57" s="81" t="e">
        <f t="shared" si="15"/>
        <v>#REF!</v>
      </c>
      <c r="K57" s="81" t="e">
        <f t="shared" si="15"/>
        <v>#REF!</v>
      </c>
      <c r="L57" s="81" t="e">
        <f t="shared" si="15"/>
        <v>#REF!</v>
      </c>
      <c r="M57" s="81" t="e">
        <f t="shared" si="15"/>
        <v>#REF!</v>
      </c>
      <c r="N57" s="81" t="e">
        <f t="shared" si="15"/>
        <v>#REF!</v>
      </c>
      <c r="O57" s="81" t="e">
        <f t="shared" si="15"/>
        <v>#REF!</v>
      </c>
      <c r="P57" s="81" t="e">
        <f t="shared" si="15"/>
        <v>#REF!</v>
      </c>
      <c r="R57" s="81" t="e">
        <f>R55+R53</f>
        <v>#REF!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-150008</v>
      </c>
      <c r="C59" s="46"/>
      <c r="D59" s="70">
        <f>SUM(E59:P59)</f>
        <v>-150008</v>
      </c>
      <c r="E59" s="70">
        <f>MarYTD!E58-FebYTD!E59</f>
        <v>-7</v>
      </c>
      <c r="F59" s="70">
        <f>MarYTD!F58-FebYTD!F59</f>
        <v>-150000</v>
      </c>
      <c r="G59" s="70">
        <f>MarYTD!G58-FebYTD!G59</f>
        <v>0</v>
      </c>
      <c r="H59" s="70">
        <f>MarYTD!H58-FebYTD!H59</f>
        <v>0</v>
      </c>
      <c r="I59" s="70">
        <f>MarYTD!I58-FebYTD!I59</f>
        <v>24</v>
      </c>
      <c r="J59" s="70">
        <f>MarYTD!J58-FebYTD!J59</f>
        <v>-52</v>
      </c>
      <c r="K59" s="70">
        <f>MarYTD!K58-FebYTD!K59</f>
        <v>27</v>
      </c>
      <c r="L59" s="70">
        <f>MarYTD!L58-FebYTD!L59</f>
        <v>0</v>
      </c>
      <c r="M59" s="70">
        <f>MarYTD!M58-FebYTD!M59</f>
        <v>0</v>
      </c>
      <c r="N59" s="80"/>
      <c r="O59" s="70">
        <f>MarYTD!O58-FebYTD!O59</f>
        <v>0</v>
      </c>
      <c r="P59" s="70">
        <f>MarYTD!P58-FebYTD!P59</f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 t="e">
        <f>B57+B59</f>
        <v>#REF!</v>
      </c>
      <c r="C61" s="46"/>
      <c r="D61" s="81">
        <f>D57+D59</f>
        <v>16982.659000000014</v>
      </c>
      <c r="E61" s="81" t="e">
        <f>E57+E59</f>
        <v>#REF!</v>
      </c>
      <c r="F61" s="81" t="e">
        <f t="shared" ref="F61:M61" si="16">F57+F59</f>
        <v>#REF!</v>
      </c>
      <c r="G61" s="81" t="e">
        <f t="shared" si="16"/>
        <v>#REF!</v>
      </c>
      <c r="H61" s="81" t="e">
        <f t="shared" si="16"/>
        <v>#REF!</v>
      </c>
      <c r="I61" s="81" t="e">
        <f t="shared" si="16"/>
        <v>#REF!</v>
      </c>
      <c r="J61" s="81" t="e">
        <f t="shared" si="16"/>
        <v>#REF!</v>
      </c>
      <c r="K61" s="81" t="e">
        <f t="shared" si="16"/>
        <v>#REF!</v>
      </c>
      <c r="L61" s="81" t="e">
        <f t="shared" si="16"/>
        <v>#REF!</v>
      </c>
      <c r="M61" s="81" t="e">
        <f t="shared" si="16"/>
        <v>#REF!</v>
      </c>
      <c r="N61" s="81" t="e">
        <f>M61+L61</f>
        <v>#REF!</v>
      </c>
      <c r="O61" s="81" t="e">
        <f>O57+O59</f>
        <v>#REF!</v>
      </c>
      <c r="P61" s="81" t="e">
        <f>P57+P59</f>
        <v>#REF!</v>
      </c>
      <c r="R61" s="81" t="e">
        <f>R57+R59</f>
        <v>#REF!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 t="e">
        <f>P57-P63</f>
        <v>#REF!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pageMargins left="0.75" right="0.75" top="1" bottom="1" header="0.5" footer="0.5"/>
  <pageSetup scale="65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A34" workbookViewId="0">
      <selection activeCell="A40" sqref="A40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110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84850.005000000005</v>
      </c>
      <c r="C8" s="63"/>
      <c r="D8" s="68">
        <f>SUM(E8:M8)+O8+P8</f>
        <v>86157.36</v>
      </c>
      <c r="E8" s="68">
        <f>'[6]03YTD'!J$65</f>
        <v>62672.225999999995</v>
      </c>
      <c r="F8" s="68">
        <f>'[6]03YTD'!K$65</f>
        <v>13255.386000000002</v>
      </c>
      <c r="G8" s="68">
        <f>'[6]03YTD'!L$65</f>
        <v>6451.6530000000002</v>
      </c>
      <c r="H8" s="68">
        <f>'[6]03YTD'!M$65</f>
        <v>892.48700000000008</v>
      </c>
      <c r="I8" s="68">
        <f>'[6]03YTD'!N$65</f>
        <v>-0.28500000000000203</v>
      </c>
      <c r="J8" s="68">
        <f>'[6]03YTD'!O$65</f>
        <v>389.49599999999998</v>
      </c>
      <c r="K8" s="68">
        <f>'[6]03YTD'!P$65</f>
        <v>63.834999999999951</v>
      </c>
      <c r="L8" s="68">
        <f>'[6]03YTD'!Q$65</f>
        <v>-10.381</v>
      </c>
      <c r="M8" s="68">
        <f>'[6]03YTD'!R$65</f>
        <v>0</v>
      </c>
      <c r="N8" s="68">
        <f>M8+L8</f>
        <v>-10.381</v>
      </c>
      <c r="O8" s="68">
        <f>'[6]03YTD'!$U$65</f>
        <v>2442.9440000000004</v>
      </c>
      <c r="P8" s="68">
        <f>'[6]03YTD'!V$65</f>
        <v>-9.9999999999944578E-4</v>
      </c>
      <c r="R8" s="68">
        <f>'[6]03YTD'!$X$65</f>
        <v>-1307.355</v>
      </c>
    </row>
    <row r="9" spans="1:18" ht="12.75" customHeight="1" outlineLevel="4" x14ac:dyDescent="0.2">
      <c r="A9" s="62" t="s">
        <v>29</v>
      </c>
      <c r="B9" s="69">
        <f>D9+R9</f>
        <v>7811.5109999999995</v>
      </c>
      <c r="C9" s="63"/>
      <c r="D9" s="70">
        <f>SUM(E9:M9)+O9+P9</f>
        <v>7811.5109999999995</v>
      </c>
      <c r="E9" s="70">
        <f>'[6]03YTD'!J$72*-1</f>
        <v>-3619.2979999999998</v>
      </c>
      <c r="F9" s="70">
        <f>'[6]03YTD'!K$72*-1</f>
        <v>816.09999999999991</v>
      </c>
      <c r="G9" s="70">
        <f>'[6]03YTD'!L$72*-1</f>
        <v>0</v>
      </c>
      <c r="H9" s="70">
        <f>'[6]03YTD'!M$72*-1</f>
        <v>877.97000000000014</v>
      </c>
      <c r="I9" s="70">
        <f>'[6]03YTD'!N$72*-1</f>
        <v>0</v>
      </c>
      <c r="J9" s="70">
        <f>'[6]03YTD'!O$72*-1</f>
        <v>81.350999999999985</v>
      </c>
      <c r="K9" s="70">
        <f>'[6]03YTD'!P$72*-1</f>
        <v>0</v>
      </c>
      <c r="L9" s="70">
        <f>'[6]03YTD'!Q$72*-1</f>
        <v>0</v>
      </c>
      <c r="M9" s="70">
        <f>'[6]03YTD'!R$72*-1</f>
        <v>0</v>
      </c>
      <c r="N9" s="70">
        <f>M9+L9</f>
        <v>0</v>
      </c>
      <c r="O9" s="70">
        <f>'[6]03YTD'!U$72*-1</f>
        <v>9655.387999999999</v>
      </c>
      <c r="P9" s="70">
        <f>'[6]03YTD'!V$72*-1</f>
        <v>0</v>
      </c>
      <c r="R9" s="70">
        <f>'[6]03YTD'!X$72*-1</f>
        <v>0</v>
      </c>
    </row>
    <row r="10" spans="1:18" ht="12.75" customHeight="1" outlineLevel="4" x14ac:dyDescent="0.2">
      <c r="A10" s="67" t="s">
        <v>49</v>
      </c>
      <c r="B10" s="71">
        <f>B8+B9</f>
        <v>92661.516000000003</v>
      </c>
      <c r="C10" s="63"/>
      <c r="D10" s="71">
        <f>D8+D9</f>
        <v>93968.870999999999</v>
      </c>
      <c r="E10" s="71">
        <f>E8+E9</f>
        <v>59052.927999999993</v>
      </c>
      <c r="F10" s="71">
        <f t="shared" ref="F10:R10" si="0">F8+F9</f>
        <v>14071.486000000003</v>
      </c>
      <c r="G10" s="71">
        <f t="shared" si="0"/>
        <v>6451.6530000000002</v>
      </c>
      <c r="H10" s="71">
        <f t="shared" si="0"/>
        <v>1770.4570000000003</v>
      </c>
      <c r="I10" s="71">
        <f t="shared" si="0"/>
        <v>-0.28500000000000203</v>
      </c>
      <c r="J10" s="71">
        <f t="shared" si="0"/>
        <v>470.84699999999998</v>
      </c>
      <c r="K10" s="71">
        <f t="shared" si="0"/>
        <v>63.834999999999951</v>
      </c>
      <c r="L10" s="71">
        <f t="shared" si="0"/>
        <v>-10.381</v>
      </c>
      <c r="M10" s="71">
        <f t="shared" si="0"/>
        <v>0</v>
      </c>
      <c r="N10" s="71">
        <f>N8</f>
        <v>-10.381</v>
      </c>
      <c r="O10" s="71">
        <f t="shared" si="0"/>
        <v>12098.331999999999</v>
      </c>
      <c r="P10" s="71">
        <f t="shared" si="0"/>
        <v>-9.9999999999944578E-4</v>
      </c>
      <c r="R10" s="71">
        <f t="shared" si="0"/>
        <v>-1307.355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15988.228999999999</v>
      </c>
      <c r="C12" s="63"/>
      <c r="D12" s="68">
        <f t="shared" ref="D12:D18" si="1">SUM(E12:M12)+O12+P12</f>
        <v>15988.228999999999</v>
      </c>
      <c r="E12" s="68">
        <f>'[6]03YTD'!J$36</f>
        <v>11137.832</v>
      </c>
      <c r="F12" s="68">
        <f>'[6]03YTD'!K$36</f>
        <v>4828.0859999999993</v>
      </c>
      <c r="G12" s="68">
        <f>'[6]03YTD'!L$36</f>
        <v>0</v>
      </c>
      <c r="H12" s="68">
        <f>'[6]03YTD'!M$36</f>
        <v>0</v>
      </c>
      <c r="I12" s="68">
        <f>'[6]03YTD'!N$36</f>
        <v>0</v>
      </c>
      <c r="J12" s="68">
        <f>'[6]03YTD'!O$36</f>
        <v>0</v>
      </c>
      <c r="K12" s="68">
        <f>'[6]03YTD'!P$36</f>
        <v>0</v>
      </c>
      <c r="L12" s="68">
        <f>'[6]03YTD'!Q$36</f>
        <v>22.311</v>
      </c>
      <c r="M12" s="68">
        <f>'[6]03YTD'!R$36</f>
        <v>0</v>
      </c>
      <c r="N12" s="68">
        <f>M12+L12</f>
        <v>22.311</v>
      </c>
      <c r="O12" s="68">
        <f>'[6]03YTD'!U$36</f>
        <v>0</v>
      </c>
      <c r="P12" s="68">
        <f>'[6]03YTD'!V$36</f>
        <v>0</v>
      </c>
      <c r="R12" s="68">
        <f>'[6]03YTD'!X$36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6374.8770000000013</v>
      </c>
      <c r="C13" s="63"/>
      <c r="D13" s="68">
        <f t="shared" si="1"/>
        <v>6359.688000000001</v>
      </c>
      <c r="E13" s="68">
        <f>'[6]03YTD'!J$62</f>
        <v>5811.6310000000003</v>
      </c>
      <c r="F13" s="68">
        <f>'[6]03YTD'!K$62</f>
        <v>380.64</v>
      </c>
      <c r="G13" s="68">
        <f>'[6]03YTD'!L$62</f>
        <v>0</v>
      </c>
      <c r="H13" s="68">
        <f>'[6]03YTD'!M$62</f>
        <v>162.47399999999999</v>
      </c>
      <c r="I13" s="68">
        <f>'[6]03YTD'!N$62</f>
        <v>0</v>
      </c>
      <c r="J13" s="68">
        <f>'[6]03YTD'!O$62</f>
        <v>0</v>
      </c>
      <c r="K13" s="68">
        <f>'[6]03YTD'!P$62</f>
        <v>-1.8210000000000002</v>
      </c>
      <c r="L13" s="68">
        <f>'[6]03YTD'!Q$62</f>
        <v>6.7640000000000002</v>
      </c>
      <c r="M13" s="68">
        <f>'[6]03YTD'!R$62</f>
        <v>0</v>
      </c>
      <c r="N13" s="68">
        <f>M13+L13</f>
        <v>6.7640000000000002</v>
      </c>
      <c r="O13" s="68">
        <f>'[6]03YTD'!U$62</f>
        <v>0</v>
      </c>
      <c r="P13" s="68">
        <f>'[6]03YTD'!V$62</f>
        <v>0</v>
      </c>
      <c r="R13" s="68">
        <f>'[6]03YTD'!X$62</f>
        <v>15.189</v>
      </c>
    </row>
    <row r="14" spans="1:18" ht="12.75" customHeight="1" outlineLevel="4" x14ac:dyDescent="0.2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'[6]03YTD'!$J$46*-1</f>
        <v>6.6150000000000002</v>
      </c>
      <c r="F14" s="68">
        <f>'[6]03YTD'!K$46*-1</f>
        <v>2E-3</v>
      </c>
      <c r="G14" s="68">
        <f>'[6]03YTD'!L$46*-1</f>
        <v>0</v>
      </c>
      <c r="H14" s="68">
        <f>'[6]03YTD'!M$46*-1</f>
        <v>0</v>
      </c>
      <c r="I14" s="68">
        <f>'[6]03YTD'!N$46*-1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/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-6936.0660000000007</v>
      </c>
      <c r="C16" s="63"/>
      <c r="D16" s="68">
        <f t="shared" si="1"/>
        <v>-9055.4700000000012</v>
      </c>
      <c r="E16" s="68">
        <f>'[6]03YTD'!J$43*-1+34</f>
        <v>-847.69600000000003</v>
      </c>
      <c r="F16" s="68">
        <f>'[6]03YTD'!K$43*-1</f>
        <v>0</v>
      </c>
      <c r="G16" s="68">
        <f>'[6]03YTD'!L$43*-1</f>
        <v>-6451.6530000000002</v>
      </c>
      <c r="H16" s="68">
        <f>'[6]03YTD'!M$43*-1</f>
        <v>-1756.1210000000001</v>
      </c>
      <c r="I16" s="68">
        <f>'[6]03YTD'!N$43*-1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'[6]03YTD'!U$43*-1</f>
        <v>0</v>
      </c>
      <c r="P16" s="68">
        <f>'[6]03YTD'!V$43*-1</f>
        <v>0</v>
      </c>
      <c r="R16" s="68">
        <f>'[6]03YTD'!X$43*-1</f>
        <v>2119.404</v>
      </c>
    </row>
    <row r="17" spans="1:18" ht="12.75" customHeight="1" outlineLevel="4" x14ac:dyDescent="0.2">
      <c r="A17" s="67" t="s">
        <v>39</v>
      </c>
      <c r="B17" s="63">
        <f t="shared" si="2"/>
        <v>3282</v>
      </c>
      <c r="C17" s="63"/>
      <c r="D17" s="68">
        <f t="shared" si="1"/>
        <v>1616</v>
      </c>
      <c r="E17" s="72">
        <v>800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72">
        <f>[7]MAR_YTD!$H$16</f>
        <v>1666</v>
      </c>
    </row>
    <row r="18" spans="1:18" ht="12.75" customHeight="1" outlineLevel="4" x14ac:dyDescent="0.2">
      <c r="A18" s="67" t="s">
        <v>32</v>
      </c>
      <c r="B18" s="69">
        <f t="shared" si="2"/>
        <v>-60977</v>
      </c>
      <c r="C18" s="63"/>
      <c r="D18" s="68">
        <f t="shared" si="1"/>
        <v>-61232</v>
      </c>
      <c r="E18" s="70">
        <f>-2044-5074</f>
        <v>-7118</v>
      </c>
      <c r="F18" s="70">
        <f>322+1358-896</f>
        <v>784</v>
      </c>
      <c r="G18" s="70">
        <v>0</v>
      </c>
      <c r="H18" s="70"/>
      <c r="I18" s="70">
        <v>1</v>
      </c>
      <c r="J18" s="70">
        <v>-595</v>
      </c>
      <c r="K18" s="70">
        <v>58</v>
      </c>
      <c r="L18" s="70">
        <v>-119</v>
      </c>
      <c r="M18" s="70">
        <v>-50236</v>
      </c>
      <c r="N18" s="68">
        <f>M18+L18</f>
        <v>-50355</v>
      </c>
      <c r="O18" s="70">
        <v>-3965</v>
      </c>
      <c r="P18" s="70">
        <v>-42</v>
      </c>
      <c r="R18" s="70">
        <f>[7]MAR_YTD!$H$17</f>
        <v>255</v>
      </c>
    </row>
    <row r="19" spans="1:18" ht="12.75" customHeight="1" outlineLevel="4" x14ac:dyDescent="0.2">
      <c r="A19" s="62" t="s">
        <v>31</v>
      </c>
      <c r="B19" s="73">
        <f>SUM(B10:B18)</f>
        <v>50400.172999999995</v>
      </c>
      <c r="C19" s="63"/>
      <c r="D19" s="73">
        <f>SUM(D10:D18)</f>
        <v>47651.934999999998</v>
      </c>
      <c r="E19" s="73">
        <f>SUM(E10:E18)</f>
        <v>68843.31</v>
      </c>
      <c r="F19" s="73">
        <f t="shared" ref="F19:R19" si="3">SUM(F10:F18)</f>
        <v>20064.214</v>
      </c>
      <c r="G19" s="73">
        <f t="shared" si="3"/>
        <v>0</v>
      </c>
      <c r="H19" s="73">
        <f t="shared" si="3"/>
        <v>992.81000000000017</v>
      </c>
      <c r="I19" s="73">
        <f t="shared" si="3"/>
        <v>0.71499999999999797</v>
      </c>
      <c r="J19" s="73">
        <f t="shared" si="3"/>
        <v>-124.15300000000002</v>
      </c>
      <c r="K19" s="73">
        <f t="shared" si="3"/>
        <v>120.01399999999995</v>
      </c>
      <c r="L19" s="73">
        <f t="shared" si="3"/>
        <v>-100.306</v>
      </c>
      <c r="M19" s="73">
        <f t="shared" si="3"/>
        <v>-50236</v>
      </c>
      <c r="N19" s="73">
        <f t="shared" si="3"/>
        <v>-50336.305999999997</v>
      </c>
      <c r="O19" s="73">
        <f t="shared" si="3"/>
        <v>8133.3319999999985</v>
      </c>
      <c r="P19" s="73">
        <f t="shared" si="3"/>
        <v>-42.000999999999998</v>
      </c>
      <c r="R19" s="73">
        <f t="shared" si="3"/>
        <v>2748.2380000000003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168</v>
      </c>
      <c r="C22" s="63"/>
      <c r="D22" s="68">
        <f t="shared" ref="D22:D30" si="5">SUM(E22:M22)+O22+P22</f>
        <v>-3089</v>
      </c>
      <c r="E22" s="68">
        <v>-2085</v>
      </c>
      <c r="F22" s="68">
        <v>260</v>
      </c>
      <c r="G22" s="68"/>
      <c r="H22" s="68">
        <v>-38</v>
      </c>
      <c r="I22" s="68">
        <v>7</v>
      </c>
      <c r="J22" s="68">
        <v>-344</v>
      </c>
      <c r="K22" s="68">
        <v>163</v>
      </c>
      <c r="L22" s="68">
        <v>40</v>
      </c>
      <c r="M22" s="68"/>
      <c r="N22" s="68"/>
      <c r="O22" s="68">
        <v>-1030</v>
      </c>
      <c r="P22" s="68">
        <v>-62</v>
      </c>
      <c r="R22" s="68">
        <f>[7]MAR_YTD!$H20</f>
        <v>3257</v>
      </c>
    </row>
    <row r="23" spans="1:18" ht="12.75" customHeight="1" outlineLevel="4" x14ac:dyDescent="0.2">
      <c r="A23" s="67" t="s">
        <v>20</v>
      </c>
      <c r="B23" s="63">
        <f t="shared" si="4"/>
        <v>9900</v>
      </c>
      <c r="C23" s="63"/>
      <c r="D23" s="68">
        <f t="shared" si="5"/>
        <v>9900</v>
      </c>
      <c r="E23" s="68">
        <v>-1240</v>
      </c>
      <c r="F23" s="68">
        <v>-3307</v>
      </c>
      <c r="G23" s="68"/>
      <c r="H23" s="68"/>
      <c r="I23" s="68">
        <v>-7</v>
      </c>
      <c r="J23" s="68">
        <v>3287</v>
      </c>
      <c r="K23" s="68">
        <v>-489</v>
      </c>
      <c r="L23" s="68">
        <v>143</v>
      </c>
      <c r="M23" s="68">
        <v>-33</v>
      </c>
      <c r="N23" s="68">
        <f t="shared" ref="N23:N30" si="6">M23+L23</f>
        <v>110</v>
      </c>
      <c r="O23" s="68">
        <v>11397</v>
      </c>
      <c r="P23" s="68">
        <v>149</v>
      </c>
      <c r="R23" s="68">
        <f>[7]MAR_YTD!$H21</f>
        <v>0</v>
      </c>
    </row>
    <row r="24" spans="1:18" ht="12.75" customHeight="1" outlineLevel="4" x14ac:dyDescent="0.2">
      <c r="A24" s="67" t="s">
        <v>9</v>
      </c>
      <c r="B24" s="63">
        <f t="shared" si="4"/>
        <v>131</v>
      </c>
      <c r="C24" s="63"/>
      <c r="D24" s="68">
        <f t="shared" si="5"/>
        <v>131</v>
      </c>
      <c r="E24" s="68">
        <v>16</v>
      </c>
      <c r="F24" s="68">
        <v>115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68">
        <f>[7]MAR_YTD!$H22</f>
        <v>0</v>
      </c>
    </row>
    <row r="25" spans="1:18" ht="12.75" customHeight="1" outlineLevel="4" x14ac:dyDescent="0.2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[7]MAR_YTD!$H23</f>
        <v>0</v>
      </c>
    </row>
    <row r="26" spans="1:18" ht="12.75" customHeight="1" outlineLevel="4" x14ac:dyDescent="0.2">
      <c r="A26" s="67" t="s">
        <v>11</v>
      </c>
      <c r="B26" s="63">
        <f t="shared" si="4"/>
        <v>-16798</v>
      </c>
      <c r="C26" s="63"/>
      <c r="D26" s="68">
        <f t="shared" si="5"/>
        <v>-16790</v>
      </c>
      <c r="E26" s="68">
        <v>-12195</v>
      </c>
      <c r="F26" s="68">
        <v>-2221</v>
      </c>
      <c r="G26" s="68"/>
      <c r="H26" s="68">
        <v>-512</v>
      </c>
      <c r="I26" s="68"/>
      <c r="J26" s="68">
        <v>-96</v>
      </c>
      <c r="K26" s="68">
        <v>4</v>
      </c>
      <c r="L26" s="68">
        <v>-74</v>
      </c>
      <c r="M26" s="68"/>
      <c r="N26" s="68">
        <f t="shared" si="6"/>
        <v>-74</v>
      </c>
      <c r="O26" s="68">
        <v>-1592</v>
      </c>
      <c r="P26" s="68">
        <v>-104</v>
      </c>
      <c r="R26" s="68">
        <f>[7]MAR_YTD!$H$25</f>
        <v>-8</v>
      </c>
    </row>
    <row r="27" spans="1:18" ht="12.75" customHeight="1" outlineLevel="4" x14ac:dyDescent="0.2">
      <c r="A27" s="62" t="s">
        <v>12</v>
      </c>
      <c r="B27" s="63">
        <f t="shared" si="4"/>
        <v>3522</v>
      </c>
      <c r="C27" s="63"/>
      <c r="D27" s="68">
        <f t="shared" si="5"/>
        <v>3522</v>
      </c>
      <c r="E27" s="68">
        <v>4633</v>
      </c>
      <c r="F27" s="68">
        <v>-1111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/>
    </row>
    <row r="28" spans="1:18" ht="12.75" customHeight="1" outlineLevel="4" x14ac:dyDescent="0.2">
      <c r="A28" s="67" t="s">
        <v>13</v>
      </c>
      <c r="B28" s="63">
        <f t="shared" si="4"/>
        <v>1629</v>
      </c>
      <c r="C28" s="63"/>
      <c r="D28" s="68">
        <f t="shared" si="5"/>
        <v>1601</v>
      </c>
      <c r="E28" s="68">
        <v>2727</v>
      </c>
      <c r="F28" s="68">
        <v>1580</v>
      </c>
      <c r="G28" s="68"/>
      <c r="H28" s="68">
        <v>-1</v>
      </c>
      <c r="I28" s="68"/>
      <c r="J28" s="68">
        <v>-2</v>
      </c>
      <c r="K28" s="68">
        <v>-2</v>
      </c>
      <c r="L28" s="68"/>
      <c r="M28" s="68">
        <v>-2701</v>
      </c>
      <c r="N28" s="68">
        <f t="shared" si="6"/>
        <v>-2701</v>
      </c>
      <c r="O28" s="68">
        <v>0</v>
      </c>
      <c r="P28" s="68"/>
      <c r="R28" s="68">
        <f>[7]MAR_YTD!$H$27</f>
        <v>28</v>
      </c>
    </row>
    <row r="29" spans="1:18" ht="12.75" customHeight="1" outlineLevel="4" x14ac:dyDescent="0.2">
      <c r="A29" s="67" t="s">
        <v>14</v>
      </c>
      <c r="B29" s="63">
        <f t="shared" si="4"/>
        <v>1070</v>
      </c>
      <c r="C29" s="63"/>
      <c r="D29" s="68">
        <f t="shared" si="5"/>
        <v>1070</v>
      </c>
      <c r="E29" s="72">
        <v>3563</v>
      </c>
      <c r="F29" s="72">
        <v>-2493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/>
    </row>
    <row r="30" spans="1:18" ht="12.75" customHeight="1" outlineLevel="4" x14ac:dyDescent="0.2">
      <c r="A30" s="67" t="s">
        <v>30</v>
      </c>
      <c r="B30" s="69">
        <f t="shared" si="4"/>
        <v>-12802</v>
      </c>
      <c r="C30" s="63"/>
      <c r="D30" s="68">
        <f t="shared" si="5"/>
        <v>-12802</v>
      </c>
      <c r="E30" s="70">
        <v>-8951</v>
      </c>
      <c r="F30" s="70">
        <v>-410</v>
      </c>
      <c r="G30" s="70"/>
      <c r="H30" s="70">
        <v>-897</v>
      </c>
      <c r="I30" s="70"/>
      <c r="J30" s="70"/>
      <c r="K30" s="70"/>
      <c r="L30" s="70">
        <v>3</v>
      </c>
      <c r="M30" s="70"/>
      <c r="N30" s="70">
        <f t="shared" si="6"/>
        <v>3</v>
      </c>
      <c r="O30" s="70">
        <v>-2547</v>
      </c>
      <c r="P30" s="70"/>
      <c r="R30" s="68">
        <f>[7]MAR_YTD!$H28</f>
        <v>0</v>
      </c>
    </row>
    <row r="31" spans="1:18" ht="12.75" customHeight="1" outlineLevel="4" x14ac:dyDescent="0.2">
      <c r="A31" s="67" t="s">
        <v>33</v>
      </c>
      <c r="B31" s="84">
        <f>SUM(B21:B30)</f>
        <v>-13177</v>
      </c>
      <c r="C31" s="74"/>
      <c r="D31" s="84">
        <f>SUM(D21:D30)</f>
        <v>-16454</v>
      </c>
      <c r="E31" s="84">
        <f>SUM(E21:E30)</f>
        <v>-13532</v>
      </c>
      <c r="F31" s="84">
        <f t="shared" ref="F31:R31" si="7">SUM(F21:F30)</f>
        <v>-7584</v>
      </c>
      <c r="G31" s="84">
        <f t="shared" si="7"/>
        <v>0</v>
      </c>
      <c r="H31" s="84">
        <f t="shared" si="7"/>
        <v>-1448</v>
      </c>
      <c r="I31" s="84">
        <f t="shared" si="7"/>
        <v>0</v>
      </c>
      <c r="J31" s="84">
        <f t="shared" si="7"/>
        <v>2845</v>
      </c>
      <c r="K31" s="84">
        <f t="shared" si="7"/>
        <v>-324</v>
      </c>
      <c r="L31" s="84">
        <f t="shared" si="7"/>
        <v>112</v>
      </c>
      <c r="M31" s="84">
        <f t="shared" si="7"/>
        <v>-2734</v>
      </c>
      <c r="N31" s="84">
        <f t="shared" si="7"/>
        <v>-2662</v>
      </c>
      <c r="O31" s="84">
        <f t="shared" si="7"/>
        <v>6228</v>
      </c>
      <c r="P31" s="84">
        <f t="shared" si="7"/>
        <v>-17</v>
      </c>
      <c r="R31" s="84">
        <f t="shared" si="7"/>
        <v>3277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37223.172999999995</v>
      </c>
      <c r="C33" s="63"/>
      <c r="D33" s="75">
        <f t="shared" ref="D33:P33" si="8">D19+D31</f>
        <v>31197.934999999998</v>
      </c>
      <c r="E33" s="75">
        <f t="shared" si="8"/>
        <v>55311.31</v>
      </c>
      <c r="F33" s="75">
        <f t="shared" si="8"/>
        <v>12480.214</v>
      </c>
      <c r="G33" s="75">
        <f t="shared" si="8"/>
        <v>0</v>
      </c>
      <c r="H33" s="75">
        <f t="shared" si="8"/>
        <v>-455.18999999999983</v>
      </c>
      <c r="I33" s="75">
        <f t="shared" si="8"/>
        <v>0.71499999999999797</v>
      </c>
      <c r="J33" s="75">
        <f t="shared" si="8"/>
        <v>2720.8469999999998</v>
      </c>
      <c r="K33" s="75">
        <f t="shared" si="8"/>
        <v>-203.98600000000005</v>
      </c>
      <c r="L33" s="75">
        <f t="shared" si="8"/>
        <v>11.694000000000003</v>
      </c>
      <c r="M33" s="75">
        <f t="shared" si="8"/>
        <v>-52970</v>
      </c>
      <c r="N33" s="75">
        <f t="shared" si="8"/>
        <v>-52998.305999999997</v>
      </c>
      <c r="O33" s="75">
        <f t="shared" si="8"/>
        <v>14361.331999999999</v>
      </c>
      <c r="P33" s="75">
        <f t="shared" si="8"/>
        <v>-59.000999999999998</v>
      </c>
      <c r="R33" s="75">
        <f>R19+R31</f>
        <v>6025.2380000000003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7089</v>
      </c>
      <c r="C36" s="63"/>
      <c r="D36" s="68">
        <f>SUM(E36:M36)+O36+P36</f>
        <v>7089</v>
      </c>
      <c r="E36" s="76">
        <v>7089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-9919</v>
      </c>
      <c r="C37" s="63"/>
      <c r="D37" s="68">
        <f>SUM(E37:M37)+O37+P37</f>
        <v>-9919</v>
      </c>
      <c r="E37" s="76">
        <v>-6109</v>
      </c>
      <c r="F37" s="76">
        <v>-3810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-319</v>
      </c>
      <c r="C38" s="63"/>
      <c r="D38" s="68">
        <f>SUM(E38:M38)+O38+P38</f>
        <v>-319</v>
      </c>
      <c r="E38" s="76">
        <f>-298-275</f>
        <v>-573</v>
      </c>
      <c r="F38" s="76">
        <f>223+31</f>
        <v>254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105</v>
      </c>
      <c r="B39" s="63">
        <f t="shared" si="9"/>
        <v>-12700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[7]MAR_YTD!$H$38</f>
        <v>-12700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-1847</v>
      </c>
      <c r="C41" s="63"/>
      <c r="D41" s="70">
        <f>SUM(E41:M41)+O41+P41</f>
        <v>-1847</v>
      </c>
      <c r="E41" s="70">
        <v>-1847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-17696</v>
      </c>
      <c r="C42" s="77">
        <f>SUM(C36:C41)</f>
        <v>0</v>
      </c>
      <c r="D42" s="75">
        <f>SUM(D36:D41)</f>
        <v>-4996</v>
      </c>
      <c r="E42" s="75">
        <f>SUM(E36:E41)</f>
        <v>-1440</v>
      </c>
      <c r="F42" s="75">
        <f t="shared" ref="F42:R42" si="10">SUM(F36:F41)</f>
        <v>-3556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-12700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69527.172999999995</v>
      </c>
      <c r="C52" s="63"/>
      <c r="D52" s="77">
        <f t="shared" ref="D52:M52" si="12">D33+D42+D50</f>
        <v>76201.934999999998</v>
      </c>
      <c r="E52" s="77">
        <f t="shared" si="12"/>
        <v>53871.31</v>
      </c>
      <c r="F52" s="77">
        <f t="shared" si="12"/>
        <v>58924.214</v>
      </c>
      <c r="G52" s="77">
        <f t="shared" si="12"/>
        <v>0</v>
      </c>
      <c r="H52" s="77">
        <f t="shared" si="12"/>
        <v>-455.18999999999983</v>
      </c>
      <c r="I52" s="77">
        <f t="shared" si="12"/>
        <v>0.71499999999999797</v>
      </c>
      <c r="J52" s="77">
        <f t="shared" si="12"/>
        <v>2720.8469999999998</v>
      </c>
      <c r="K52" s="77">
        <f t="shared" si="12"/>
        <v>-203.98600000000005</v>
      </c>
      <c r="L52" s="77">
        <f t="shared" si="12"/>
        <v>11.694000000000003</v>
      </c>
      <c r="M52" s="77">
        <f t="shared" si="12"/>
        <v>-52970</v>
      </c>
      <c r="N52" s="77">
        <f>M52+L52</f>
        <v>-52958.305999999997</v>
      </c>
      <c r="O52" s="77">
        <f>O33+O42+O50</f>
        <v>14361.331999999999</v>
      </c>
      <c r="P52" s="77">
        <f>P33+P42+P50</f>
        <v>-59.000999999999998</v>
      </c>
      <c r="R52" s="77">
        <f>R33+R42+R50</f>
        <v>-6674.7619999999997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-3328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[7]MAR_YTD!$H$52</f>
        <v>-3328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66199.172999999995</v>
      </c>
      <c r="C56" s="63"/>
      <c r="D56" s="81">
        <f t="shared" ref="D56:K56" si="13">D54+D52</f>
        <v>76201.934999999998</v>
      </c>
      <c r="E56" s="81">
        <f t="shared" si="13"/>
        <v>53871.31</v>
      </c>
      <c r="F56" s="81">
        <f t="shared" si="13"/>
        <v>58924.214</v>
      </c>
      <c r="G56" s="81">
        <f t="shared" si="13"/>
        <v>0</v>
      </c>
      <c r="H56" s="81">
        <f t="shared" si="13"/>
        <v>-455.18999999999983</v>
      </c>
      <c r="I56" s="81">
        <f t="shared" si="13"/>
        <v>0.71499999999999797</v>
      </c>
      <c r="J56" s="81">
        <f t="shared" si="13"/>
        <v>2720.8469999999998</v>
      </c>
      <c r="K56" s="81">
        <f t="shared" si="13"/>
        <v>-203.98600000000005</v>
      </c>
      <c r="L56" s="81">
        <f>L52-L54</f>
        <v>11.694000000000003</v>
      </c>
      <c r="M56" s="81">
        <f>M52-M54</f>
        <v>-52970</v>
      </c>
      <c r="N56" s="81">
        <f>N54+N52</f>
        <v>-52958.305999999997</v>
      </c>
      <c r="O56" s="81">
        <f>O54+O52</f>
        <v>14361.331999999999</v>
      </c>
      <c r="P56" s="81">
        <f>P54+P52</f>
        <v>-59.000999999999998</v>
      </c>
      <c r="R56" s="81">
        <f>R54+R52</f>
        <v>-10002.761999999999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-50021</v>
      </c>
      <c r="C58" s="46"/>
      <c r="D58" s="70">
        <f>SUM(E58:P58)</f>
        <v>-50021</v>
      </c>
      <c r="E58" s="80">
        <v>-20</v>
      </c>
      <c r="F58" s="80">
        <v>-50000</v>
      </c>
      <c r="G58" s="80">
        <v>0</v>
      </c>
      <c r="H58" s="80">
        <v>0</v>
      </c>
      <c r="I58" s="80">
        <v>173</v>
      </c>
      <c r="J58" s="80">
        <v>-663</v>
      </c>
      <c r="K58" s="80">
        <v>489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16178.172999999995</v>
      </c>
      <c r="C60" s="46"/>
      <c r="D60" s="81">
        <f t="shared" ref="D60:M60" si="14">D56+D58</f>
        <v>26180.934999999998</v>
      </c>
      <c r="E60" s="81">
        <f t="shared" si="14"/>
        <v>53851.31</v>
      </c>
      <c r="F60" s="81">
        <f t="shared" si="14"/>
        <v>8924.2139999999999</v>
      </c>
      <c r="G60" s="81">
        <f t="shared" si="14"/>
        <v>0</v>
      </c>
      <c r="H60" s="81">
        <f t="shared" si="14"/>
        <v>-455.18999999999983</v>
      </c>
      <c r="I60" s="81">
        <f t="shared" si="14"/>
        <v>173.715</v>
      </c>
      <c r="J60" s="81">
        <f t="shared" si="14"/>
        <v>2057.8469999999998</v>
      </c>
      <c r="K60" s="81">
        <f t="shared" si="14"/>
        <v>285.01399999999995</v>
      </c>
      <c r="L60" s="81">
        <f t="shared" si="14"/>
        <v>11.694000000000003</v>
      </c>
      <c r="M60" s="81">
        <f t="shared" si="14"/>
        <v>-52970</v>
      </c>
      <c r="N60" s="81">
        <f>M60+L60</f>
        <v>-52958.305999999997</v>
      </c>
      <c r="O60" s="81">
        <f>O56+O58</f>
        <v>14361.331999999999</v>
      </c>
      <c r="P60" s="81">
        <f>P56+P58</f>
        <v>-59.000999999999998</v>
      </c>
      <c r="R60" s="81">
        <f>R56+R58</f>
        <v>-10002.761999999999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1" bottom="1" header="0.5" footer="0.5"/>
  <pageSetup scale="65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showZeros="0" showOutlineSymbols="0" topLeftCell="B1" workbookViewId="0">
      <selection activeCell="R28" sqref="R28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56159.542999999961</v>
      </c>
      <c r="C8" s="63"/>
      <c r="D8" s="68">
        <f>SUM(E8:M8)+O8+P8</f>
        <v>57095.717999999964</v>
      </c>
      <c r="E8" s="68">
        <f>'[4]02YTD'!J$65</f>
        <v>41275.296999999977</v>
      </c>
      <c r="F8" s="68">
        <f>'[4]02YTD'!K$65</f>
        <v>9313.3929999999982</v>
      </c>
      <c r="G8" s="68">
        <f>'[4]02YTD'!L$65</f>
        <v>4387.268</v>
      </c>
      <c r="H8" s="68">
        <f>'[4]02YTD'!M$65</f>
        <v>596.9369999999999</v>
      </c>
      <c r="I8" s="68">
        <f>'[4]02YTD'!N$65</f>
        <v>1.000000000000778E-3</v>
      </c>
      <c r="J8" s="68">
        <f>'[4]02YTD'!O$65</f>
        <v>345.34700000000004</v>
      </c>
      <c r="K8" s="68">
        <f>'[4]02YTD'!P$65</f>
        <v>42.932999999999922</v>
      </c>
      <c r="L8" s="68">
        <f>'[4]02YTD'!Q$65</f>
        <v>-26</v>
      </c>
      <c r="M8" s="68">
        <f>'[4]02YTD'!R$65</f>
        <v>0</v>
      </c>
      <c r="N8" s="68">
        <f>M8+L8</f>
        <v>-26</v>
      </c>
      <c r="O8" s="68">
        <f>'[4]02YTD'!$U$65</f>
        <v>1160.5420000000004</v>
      </c>
      <c r="P8" s="68">
        <f>'[4]02YTD'!V$65</f>
        <v>0</v>
      </c>
      <c r="R8" s="48">
        <f>[5]FEB_YTD!$H$8</f>
        <v>-936.17500000000007</v>
      </c>
    </row>
    <row r="9" spans="1:18" ht="12.75" customHeight="1" outlineLevel="4" x14ac:dyDescent="0.2">
      <c r="A9" s="62" t="s">
        <v>29</v>
      </c>
      <c r="B9" s="69">
        <f>D9+R9</f>
        <v>6731.5720000000001</v>
      </c>
      <c r="C9" s="63"/>
      <c r="D9" s="70">
        <f>SUM(E9:M9)+O9+P9</f>
        <v>6731.5720000000001</v>
      </c>
      <c r="E9" s="70">
        <f>'[4]02YTD'!J$72*-1</f>
        <v>-2414.0140000000001</v>
      </c>
      <c r="F9" s="70">
        <f>'[4]02YTD'!K$72*-1</f>
        <v>483.38</v>
      </c>
      <c r="G9" s="70">
        <f>'[4]02YTD'!L$72*-1</f>
        <v>0</v>
      </c>
      <c r="H9" s="70">
        <f>'[4]02YTD'!M$72*-1</f>
        <v>585.31299999999999</v>
      </c>
      <c r="I9" s="70">
        <f>'[4]02YTD'!N$72*-1</f>
        <v>0</v>
      </c>
      <c r="J9" s="70">
        <f>'[4]02YTD'!O$72*-1</f>
        <v>54.232999999999997</v>
      </c>
      <c r="K9" s="70">
        <f>'[4]02YTD'!P$72*-1</f>
        <v>0</v>
      </c>
      <c r="L9" s="70">
        <f>'[4]02YTD'!Q$72*-1</f>
        <v>0</v>
      </c>
      <c r="M9" s="70">
        <f>'[4]02YTD'!R$72*-1</f>
        <v>0</v>
      </c>
      <c r="N9" s="70">
        <f>M9+L9</f>
        <v>0</v>
      </c>
      <c r="O9" s="70">
        <f>'[4]02YTD'!U$72*-1</f>
        <v>8022.66</v>
      </c>
      <c r="P9" s="70">
        <f>'[4]02YTD'!V$72*-1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62891.114999999962</v>
      </c>
      <c r="C10" s="63"/>
      <c r="D10" s="71">
        <f>D8+D9</f>
        <v>63827.289999999964</v>
      </c>
      <c r="E10" s="71">
        <f>E8+E9</f>
        <v>38861.282999999974</v>
      </c>
      <c r="F10" s="71">
        <f t="shared" ref="F10:R10" si="0">F8+F9</f>
        <v>9796.7729999999974</v>
      </c>
      <c r="G10" s="71">
        <f t="shared" si="0"/>
        <v>4387.268</v>
      </c>
      <c r="H10" s="71">
        <f t="shared" si="0"/>
        <v>1182.25</v>
      </c>
      <c r="I10" s="71">
        <f t="shared" si="0"/>
        <v>1.000000000000778E-3</v>
      </c>
      <c r="J10" s="71">
        <f t="shared" si="0"/>
        <v>399.58000000000004</v>
      </c>
      <c r="K10" s="71">
        <f t="shared" si="0"/>
        <v>42.932999999999922</v>
      </c>
      <c r="L10" s="71">
        <f t="shared" si="0"/>
        <v>-26</v>
      </c>
      <c r="M10" s="71">
        <f t="shared" si="0"/>
        <v>0</v>
      </c>
      <c r="N10" s="71">
        <f>N8</f>
        <v>-26</v>
      </c>
      <c r="O10" s="71">
        <f t="shared" si="0"/>
        <v>9183.2020000000011</v>
      </c>
      <c r="P10" s="71">
        <f t="shared" si="0"/>
        <v>0</v>
      </c>
      <c r="R10" s="71">
        <f t="shared" si="0"/>
        <v>-936.17500000000007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10445.421</v>
      </c>
      <c r="C12" s="63"/>
      <c r="D12" s="68">
        <f t="shared" ref="D12:D18" si="1">SUM(E12:M12)+O12+P12</f>
        <v>10445.421</v>
      </c>
      <c r="E12" s="68">
        <f>'[4]02YTD'!J$36</f>
        <v>7224.6329999999998</v>
      </c>
      <c r="F12" s="68">
        <f>'[4]02YTD'!K$36</f>
        <v>3209.634</v>
      </c>
      <c r="G12" s="68">
        <f>'[4]02YTD'!L$36</f>
        <v>0</v>
      </c>
      <c r="H12" s="68">
        <f>'[4]02YTD'!M$36</f>
        <v>0</v>
      </c>
      <c r="I12" s="68">
        <f>'[4]02YTD'!N$36</f>
        <v>0</v>
      </c>
      <c r="J12" s="68">
        <f>'[4]02YTD'!O$36</f>
        <v>0</v>
      </c>
      <c r="K12" s="68">
        <f>'[4]02YTD'!P$36</f>
        <v>0</v>
      </c>
      <c r="L12" s="68">
        <f>'[4]02YTD'!Q$36</f>
        <v>11.154</v>
      </c>
      <c r="M12" s="68">
        <f>'[4]02YTD'!R$36</f>
        <v>0</v>
      </c>
      <c r="N12" s="68">
        <f>M12+L12</f>
        <v>11.154</v>
      </c>
      <c r="O12" s="68">
        <f>'[4]02YTD'!U$36</f>
        <v>0</v>
      </c>
      <c r="P12" s="68">
        <f>'[4]02YTD'!V$36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3663.0300000000007</v>
      </c>
      <c r="C13" s="63"/>
      <c r="D13" s="68">
        <f t="shared" si="1"/>
        <v>3652.9040000000005</v>
      </c>
      <c r="E13" s="68">
        <f>'[4]02YTD'!J$62</f>
        <v>3236.4570000000003</v>
      </c>
      <c r="F13" s="68">
        <f>'[4]02YTD'!K$62</f>
        <v>304.4670000000001</v>
      </c>
      <c r="G13" s="68">
        <f>'[4]02YTD'!L$62</f>
        <v>0</v>
      </c>
      <c r="H13" s="68">
        <f>'[4]02YTD'!M$62</f>
        <v>107.282</v>
      </c>
      <c r="I13" s="68">
        <f>'[4]02YTD'!N$62</f>
        <v>0</v>
      </c>
      <c r="J13" s="68">
        <f>'[4]02YTD'!O$62</f>
        <v>0</v>
      </c>
      <c r="K13" s="68">
        <f>'[4]02YTD'!P$62</f>
        <v>-1.2150000000000001</v>
      </c>
      <c r="L13" s="68">
        <f>'[4]02YTD'!Q$62</f>
        <v>5.9130000000000003</v>
      </c>
      <c r="M13" s="68">
        <f>'[4]02YTD'!R$62</f>
        <v>0</v>
      </c>
      <c r="N13" s="68">
        <f>M13+L13</f>
        <v>5.9130000000000003</v>
      </c>
      <c r="O13" s="68">
        <f>'[4]02YTD'!U$62</f>
        <v>0</v>
      </c>
      <c r="P13" s="68">
        <f>'[4]02YTD'!V$62</f>
        <v>0</v>
      </c>
      <c r="R13" s="48">
        <f>[5]FEB_YTD!$H$13</f>
        <v>10.125999999999999</v>
      </c>
    </row>
    <row r="14" spans="1:18" ht="12.75" customHeight="1" outlineLevel="4" x14ac:dyDescent="0.2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">
      <c r="A16" s="67" t="s">
        <v>38</v>
      </c>
      <c r="B16" s="63">
        <f t="shared" si="2"/>
        <v>-4658.3300000000008</v>
      </c>
      <c r="C16" s="63"/>
      <c r="D16" s="68">
        <f t="shared" si="1"/>
        <v>-6217.1540000000005</v>
      </c>
      <c r="E16" s="68">
        <f>'[4]02YTD'!J$43*-1</f>
        <v>-594.30499999999995</v>
      </c>
      <c r="F16" s="68">
        <f>'[4]02YTD'!K$43*-1</f>
        <v>0</v>
      </c>
      <c r="G16" s="68">
        <f>'[4]02YTD'!L$43*-1</f>
        <v>-4387.268</v>
      </c>
      <c r="H16" s="68">
        <f>'[4]02YTD'!M$43*-1</f>
        <v>-1235.5809999999999</v>
      </c>
      <c r="I16" s="68">
        <f>'[4]02YTD'!N$43*-1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'[4]02YTD'!U$43*-1</f>
        <v>0</v>
      </c>
      <c r="P16" s="68">
        <f>'[4]02YTD'!V$43*-1</f>
        <v>0</v>
      </c>
      <c r="R16" s="48">
        <f>[5]FEB_YTD!$H$19</f>
        <v>1558.8239999999998</v>
      </c>
    </row>
    <row r="17" spans="1:18" ht="12.75" customHeight="1" outlineLevel="4" x14ac:dyDescent="0.2">
      <c r="A17" s="67" t="s">
        <v>39</v>
      </c>
      <c r="B17" s="63">
        <f t="shared" si="2"/>
        <v>2482</v>
      </c>
      <c r="C17" s="63"/>
      <c r="D17" s="68">
        <f t="shared" si="1"/>
        <v>816</v>
      </c>
      <c r="E17" s="72"/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48">
        <f>[5]FEB_YTD!$H$20</f>
        <v>1666</v>
      </c>
    </row>
    <row r="18" spans="1:18" ht="12.75" customHeight="1" outlineLevel="4" x14ac:dyDescent="0.2">
      <c r="A18" s="67" t="s">
        <v>32</v>
      </c>
      <c r="B18" s="69">
        <f t="shared" si="2"/>
        <v>-42335</v>
      </c>
      <c r="C18" s="63"/>
      <c r="D18" s="68">
        <f t="shared" si="1"/>
        <v>-42334</v>
      </c>
      <c r="E18" s="70">
        <f>-1604+396+35</f>
        <v>-1173</v>
      </c>
      <c r="F18" s="70">
        <f>-753+215+879</f>
        <v>341</v>
      </c>
      <c r="G18" s="70">
        <v>0</v>
      </c>
      <c r="H18" s="70"/>
      <c r="I18" s="70"/>
      <c r="J18" s="70">
        <v>-237</v>
      </c>
      <c r="K18" s="70">
        <v>56</v>
      </c>
      <c r="L18" s="70">
        <v>-88</v>
      </c>
      <c r="M18" s="70">
        <v>-33490</v>
      </c>
      <c r="N18" s="68">
        <f>M18+L18</f>
        <v>-33578</v>
      </c>
      <c r="O18" s="70">
        <v>-7669</v>
      </c>
      <c r="P18" s="70">
        <v>-74</v>
      </c>
      <c r="R18" s="55">
        <f>[5]FEB_MO!$H$21</f>
        <v>-1</v>
      </c>
    </row>
    <row r="19" spans="1:18" ht="12.75" customHeight="1" outlineLevel="4" x14ac:dyDescent="0.2">
      <c r="A19" s="62" t="s">
        <v>31</v>
      </c>
      <c r="B19" s="73">
        <f>SUM(B10:B18)</f>
        <v>32597.050999999963</v>
      </c>
      <c r="C19" s="63"/>
      <c r="D19" s="73">
        <f>SUM(D10:D18)</f>
        <v>30299.275999999969</v>
      </c>
      <c r="E19" s="73">
        <f>SUM(E10:E18)</f>
        <v>47663.879999999976</v>
      </c>
      <c r="F19" s="73">
        <f t="shared" ref="F19:R19" si="3">SUM(F10:F18)</f>
        <v>13651.876999999999</v>
      </c>
      <c r="G19" s="73">
        <f t="shared" si="3"/>
        <v>0</v>
      </c>
      <c r="H19" s="73">
        <f t="shared" si="3"/>
        <v>869.95100000000002</v>
      </c>
      <c r="I19" s="73">
        <f t="shared" si="3"/>
        <v>1.000000000000778E-3</v>
      </c>
      <c r="J19" s="73">
        <f t="shared" si="3"/>
        <v>162.58000000000004</v>
      </c>
      <c r="K19" s="73">
        <f t="shared" si="3"/>
        <v>97.717999999999918</v>
      </c>
      <c r="L19" s="73">
        <f t="shared" si="3"/>
        <v>-96.932999999999993</v>
      </c>
      <c r="M19" s="73">
        <f t="shared" si="3"/>
        <v>-33490</v>
      </c>
      <c r="N19" s="73">
        <f t="shared" si="3"/>
        <v>-33586.932999999997</v>
      </c>
      <c r="O19" s="73">
        <f t="shared" si="3"/>
        <v>1514.2020000000011</v>
      </c>
      <c r="P19" s="73">
        <f t="shared" si="3"/>
        <v>-74</v>
      </c>
      <c r="R19" s="73">
        <f t="shared" si="3"/>
        <v>2297.7749999999996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4">D22+R22</f>
        <v>-3291</v>
      </c>
      <c r="C22" s="63"/>
      <c r="D22" s="68">
        <f t="shared" ref="D22:D30" si="5">SUM(E22:M22)+O22+P22</f>
        <v>-6717</v>
      </c>
      <c r="E22" s="68">
        <v>-3342</v>
      </c>
      <c r="F22" s="68">
        <v>445</v>
      </c>
      <c r="G22" s="68"/>
      <c r="H22" s="68">
        <v>-17</v>
      </c>
      <c r="I22" s="68">
        <v>5</v>
      </c>
      <c r="J22" s="68">
        <v>-459</v>
      </c>
      <c r="K22" s="68">
        <v>100</v>
      </c>
      <c r="L22" s="68">
        <v>8</v>
      </c>
      <c r="M22" s="68"/>
      <c r="N22" s="68"/>
      <c r="O22" s="68">
        <v>-3439</v>
      </c>
      <c r="P22" s="68">
        <v>-18</v>
      </c>
      <c r="R22" s="48">
        <f>[5]FEB_YTD!$H$24</f>
        <v>3426</v>
      </c>
    </row>
    <row r="23" spans="1:18" ht="12.75" customHeight="1" outlineLevel="4" x14ac:dyDescent="0.2">
      <c r="A23" s="67" t="s">
        <v>20</v>
      </c>
      <c r="B23" s="63">
        <f t="shared" si="4"/>
        <v>2645</v>
      </c>
      <c r="C23" s="63"/>
      <c r="D23" s="68">
        <f t="shared" si="5"/>
        <v>2645</v>
      </c>
      <c r="E23" s="68">
        <v>5076</v>
      </c>
      <c r="F23" s="68">
        <v>1943</v>
      </c>
      <c r="G23" s="68"/>
      <c r="H23" s="68"/>
      <c r="I23" s="68">
        <v>-5</v>
      </c>
      <c r="J23" s="68">
        <v>2710</v>
      </c>
      <c r="K23" s="68">
        <v>-336</v>
      </c>
      <c r="L23" s="68">
        <v>110</v>
      </c>
      <c r="M23" s="68">
        <v>-33</v>
      </c>
      <c r="N23" s="68">
        <f t="shared" ref="N23:N30" si="6">M23+L23</f>
        <v>77</v>
      </c>
      <c r="O23" s="68">
        <v>-6920</v>
      </c>
      <c r="P23" s="68">
        <v>100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4"/>
        <v>12</v>
      </c>
      <c r="C24" s="63"/>
      <c r="D24" s="68">
        <f t="shared" si="5"/>
        <v>12</v>
      </c>
      <c r="E24" s="68">
        <v>6</v>
      </c>
      <c r="F24" s="68">
        <v>6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4"/>
        <v>-1019</v>
      </c>
      <c r="C25" s="63"/>
      <c r="D25" s="68">
        <f t="shared" si="5"/>
        <v>-1019</v>
      </c>
      <c r="E25" s="68">
        <v>-893</v>
      </c>
      <c r="F25" s="68">
        <v>-126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4"/>
        <v>-8599</v>
      </c>
      <c r="C26" s="63"/>
      <c r="D26" s="68">
        <f t="shared" si="5"/>
        <v>-8586</v>
      </c>
      <c r="E26" s="68">
        <v>-4150</v>
      </c>
      <c r="F26" s="68">
        <v>-2721</v>
      </c>
      <c r="G26" s="68"/>
      <c r="H26" s="68">
        <v>251</v>
      </c>
      <c r="I26" s="68"/>
      <c r="J26" s="68">
        <v>-1326</v>
      </c>
      <c r="K26" s="68">
        <v>3</v>
      </c>
      <c r="L26" s="68"/>
      <c r="M26" s="68"/>
      <c r="N26" s="68">
        <f t="shared" si="6"/>
        <v>0</v>
      </c>
      <c r="O26" s="68">
        <v>-517</v>
      </c>
      <c r="P26" s="68">
        <v>-126</v>
      </c>
      <c r="R26" s="48">
        <f>[5]FEB_YTD!$H$29</f>
        <v>-13</v>
      </c>
    </row>
    <row r="27" spans="1:18" ht="12.75" customHeight="1" outlineLevel="4" x14ac:dyDescent="0.2">
      <c r="A27" s="62" t="s">
        <v>12</v>
      </c>
      <c r="B27" s="63">
        <f t="shared" si="4"/>
        <v>4437</v>
      </c>
      <c r="C27" s="63"/>
      <c r="D27" s="68">
        <f t="shared" si="5"/>
        <v>4437</v>
      </c>
      <c r="E27" s="68">
        <v>5143</v>
      </c>
      <c r="F27" s="68">
        <v>-706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4"/>
        <v>3919</v>
      </c>
      <c r="C28" s="63"/>
      <c r="D28" s="68">
        <f t="shared" si="5"/>
        <v>3929</v>
      </c>
      <c r="E28" s="68">
        <v>3080</v>
      </c>
      <c r="F28" s="68">
        <v>816</v>
      </c>
      <c r="G28" s="68"/>
      <c r="H28" s="68">
        <v>3</v>
      </c>
      <c r="I28" s="68"/>
      <c r="J28" s="68">
        <v>-2</v>
      </c>
      <c r="K28" s="68">
        <v>-1</v>
      </c>
      <c r="L28" s="68"/>
      <c r="M28" s="68">
        <v>33</v>
      </c>
      <c r="N28" s="68">
        <f t="shared" si="6"/>
        <v>33</v>
      </c>
      <c r="O28" s="68">
        <v>0</v>
      </c>
      <c r="P28" s="68"/>
      <c r="R28" s="48">
        <f>[5]FEB_YTD!$H$31</f>
        <v>-10</v>
      </c>
    </row>
    <row r="29" spans="1:18" ht="12.75" customHeight="1" outlineLevel="4" x14ac:dyDescent="0.2">
      <c r="A29" s="67" t="s">
        <v>14</v>
      </c>
      <c r="B29" s="63">
        <f t="shared" si="4"/>
        <v>2935</v>
      </c>
      <c r="C29" s="63"/>
      <c r="D29" s="68">
        <f t="shared" si="5"/>
        <v>2935</v>
      </c>
      <c r="E29" s="72">
        <v>5750</v>
      </c>
      <c r="F29" s="72">
        <v>-2815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4"/>
        <v>-11065</v>
      </c>
      <c r="C30" s="63"/>
      <c r="D30" s="68">
        <f t="shared" si="5"/>
        <v>-11065</v>
      </c>
      <c r="E30" s="70">
        <v>-6623</v>
      </c>
      <c r="F30" s="70">
        <v>-639</v>
      </c>
      <c r="G30" s="70"/>
      <c r="H30" s="70">
        <v>-1020</v>
      </c>
      <c r="I30" s="70"/>
      <c r="J30" s="70"/>
      <c r="K30" s="70"/>
      <c r="L30" s="70"/>
      <c r="M30" s="70"/>
      <c r="N30" s="70">
        <f t="shared" si="6"/>
        <v>0</v>
      </c>
      <c r="O30" s="70">
        <v>-2783</v>
      </c>
      <c r="P30" s="70"/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-10026</v>
      </c>
      <c r="C31" s="74"/>
      <c r="D31" s="84">
        <f>SUM(D21:D30)</f>
        <v>-13429</v>
      </c>
      <c r="E31" s="84">
        <f>SUM(E21:E30)</f>
        <v>4047</v>
      </c>
      <c r="F31" s="84">
        <f t="shared" ref="F31:R31" si="7">SUM(F21:F30)</f>
        <v>-3797</v>
      </c>
      <c r="G31" s="84">
        <f t="shared" si="7"/>
        <v>0</v>
      </c>
      <c r="H31" s="84">
        <f t="shared" si="7"/>
        <v>-783</v>
      </c>
      <c r="I31" s="84">
        <f t="shared" si="7"/>
        <v>0</v>
      </c>
      <c r="J31" s="84">
        <f t="shared" si="7"/>
        <v>923</v>
      </c>
      <c r="K31" s="84">
        <f t="shared" si="7"/>
        <v>-234</v>
      </c>
      <c r="L31" s="84">
        <f t="shared" si="7"/>
        <v>118</v>
      </c>
      <c r="M31" s="84">
        <f t="shared" si="7"/>
        <v>0</v>
      </c>
      <c r="N31" s="84">
        <f t="shared" si="7"/>
        <v>110</v>
      </c>
      <c r="O31" s="84">
        <f t="shared" si="7"/>
        <v>-13659</v>
      </c>
      <c r="P31" s="84">
        <f t="shared" si="7"/>
        <v>-44</v>
      </c>
      <c r="R31" s="84">
        <f t="shared" si="7"/>
        <v>3403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22571.050999999963</v>
      </c>
      <c r="C33" s="63"/>
      <c r="D33" s="75">
        <f t="shared" ref="D33:P33" si="8">D19+D31</f>
        <v>16870.275999999969</v>
      </c>
      <c r="E33" s="75">
        <f t="shared" si="8"/>
        <v>51710.879999999976</v>
      </c>
      <c r="F33" s="75">
        <f t="shared" si="8"/>
        <v>9854.8769999999986</v>
      </c>
      <c r="G33" s="75">
        <f t="shared" si="8"/>
        <v>0</v>
      </c>
      <c r="H33" s="75">
        <f t="shared" si="8"/>
        <v>86.951000000000022</v>
      </c>
      <c r="I33" s="75">
        <f t="shared" si="8"/>
        <v>1.000000000000778E-3</v>
      </c>
      <c r="J33" s="75">
        <f t="shared" si="8"/>
        <v>1085.58</v>
      </c>
      <c r="K33" s="75">
        <f t="shared" si="8"/>
        <v>-136.2820000000001</v>
      </c>
      <c r="L33" s="75">
        <f t="shared" si="8"/>
        <v>21.067000000000007</v>
      </c>
      <c r="M33" s="75">
        <f t="shared" si="8"/>
        <v>-33490</v>
      </c>
      <c r="N33" s="75">
        <f t="shared" si="8"/>
        <v>-33476.932999999997</v>
      </c>
      <c r="O33" s="75">
        <f t="shared" si="8"/>
        <v>-12144.797999999999</v>
      </c>
      <c r="P33" s="75">
        <f t="shared" si="8"/>
        <v>-118</v>
      </c>
      <c r="R33" s="75">
        <f>R19+R31</f>
        <v>5700.7749999999996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9">D36+R36</f>
        <v>1889</v>
      </c>
      <c r="C36" s="63"/>
      <c r="D36" s="68">
        <f>SUM(E36:M36)+O36+P36</f>
        <v>1889</v>
      </c>
      <c r="E36" s="76">
        <v>1889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">
      <c r="A37" s="62" t="s">
        <v>17</v>
      </c>
      <c r="B37" s="63">
        <f t="shared" si="9"/>
        <v>-3860</v>
      </c>
      <c r="C37" s="63"/>
      <c r="D37" s="68">
        <f>SUM(E37:M37)+O37+P37</f>
        <v>-3860</v>
      </c>
      <c r="E37" s="76">
        <v>-2210</v>
      </c>
      <c r="F37" s="76">
        <v>-1650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">
      <c r="A38" s="62" t="s">
        <v>104</v>
      </c>
      <c r="B38" s="63">
        <f t="shared" si="9"/>
        <v>-3867</v>
      </c>
      <c r="C38" s="63"/>
      <c r="D38" s="68">
        <f>SUM(E38:M38)+O38+P38</f>
        <v>-3867</v>
      </c>
      <c r="E38" s="76">
        <f>-4197-81</f>
        <v>-4278</v>
      </c>
      <c r="F38" s="76">
        <f>340+71</f>
        <v>411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">
      <c r="A39" s="62" t="s">
        <v>105</v>
      </c>
      <c r="B39" s="63">
        <f t="shared" si="9"/>
        <v>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[5]FEB_YTD!$H$42</f>
        <v>0</v>
      </c>
    </row>
    <row r="40" spans="1:18" ht="12.75" customHeight="1" outlineLevel="4" x14ac:dyDescent="0.2">
      <c r="A40" s="62" t="s">
        <v>106</v>
      </c>
      <c r="B40" s="63">
        <f t="shared" si="9"/>
        <v>238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[5]FEB_YTD!$H$43</f>
        <v>238</v>
      </c>
    </row>
    <row r="41" spans="1:18" ht="12.75" customHeight="1" outlineLevel="4" x14ac:dyDescent="0.2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">
      <c r="A43" s="62" t="s">
        <v>18</v>
      </c>
      <c r="B43" s="75">
        <f>SUM(B36:B42)</f>
        <v>-7461</v>
      </c>
      <c r="C43" s="77">
        <f>SUM(C36:C42)</f>
        <v>0</v>
      </c>
      <c r="D43" s="75">
        <f>SUM(D36:D42)</f>
        <v>-7699</v>
      </c>
      <c r="E43" s="75">
        <f>SUM(E36:E42)</f>
        <v>-6460</v>
      </c>
      <c r="F43" s="75">
        <f t="shared" ref="F43:P43" si="10">SUM(F36:F42)</f>
        <v>-1239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238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">
      <c r="A47" s="67" t="s">
        <v>45</v>
      </c>
      <c r="B47" s="63">
        <f>D47+R47</f>
        <v>-100000</v>
      </c>
      <c r="C47" s="63"/>
      <c r="D47" s="68">
        <f>SUM(E47:M47)+O47+P47</f>
        <v>-100000</v>
      </c>
      <c r="E47" s="68">
        <v>0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/>
    </row>
    <row r="51" spans="1:18" ht="12.75" customHeight="1" outlineLevel="3" x14ac:dyDescent="0.2">
      <c r="A51" s="62" t="s">
        <v>19</v>
      </c>
      <c r="B51" s="79">
        <f>SUM(B46:B50)</f>
        <v>-100000</v>
      </c>
      <c r="C51" s="63"/>
      <c r="D51" s="79">
        <f>SUM(D46:D50)</f>
        <v>-100000</v>
      </c>
      <c r="E51" s="79">
        <f>SUM(E46:E50)</f>
        <v>0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-84889.949000000037</v>
      </c>
      <c r="C53" s="63"/>
      <c r="D53" s="77">
        <f t="shared" ref="D53:M53" si="12">D33+D43+D51</f>
        <v>-90828.724000000031</v>
      </c>
      <c r="E53" s="77">
        <f t="shared" si="12"/>
        <v>45250.879999999976</v>
      </c>
      <c r="F53" s="77">
        <f t="shared" si="12"/>
        <v>-91384.123000000007</v>
      </c>
      <c r="G53" s="77">
        <f t="shared" si="12"/>
        <v>0</v>
      </c>
      <c r="H53" s="77">
        <f t="shared" si="12"/>
        <v>86.951000000000022</v>
      </c>
      <c r="I53" s="77">
        <f t="shared" si="12"/>
        <v>1.000000000000778E-3</v>
      </c>
      <c r="J53" s="77">
        <f t="shared" si="12"/>
        <v>1085.58</v>
      </c>
      <c r="K53" s="77">
        <f t="shared" si="12"/>
        <v>-136.2820000000001</v>
      </c>
      <c r="L53" s="77">
        <f t="shared" si="12"/>
        <v>21.067000000000007</v>
      </c>
      <c r="M53" s="77">
        <f t="shared" si="12"/>
        <v>-33490</v>
      </c>
      <c r="N53" s="77">
        <f>M53+L53</f>
        <v>-33468.932999999997</v>
      </c>
      <c r="O53" s="77">
        <f>O33+O43+O51</f>
        <v>-12144.797999999999</v>
      </c>
      <c r="P53" s="77">
        <f>P33+P43+P51</f>
        <v>-118</v>
      </c>
      <c r="R53" s="77">
        <f>R33+R43+R51</f>
        <v>5938.7749999999996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-3395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40</v>
      </c>
      <c r="R55" s="55">
        <f>[5]FEB_YTD!$J$56*-1</f>
        <v>-3435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B55+B53</f>
        <v>-88284.949000000037</v>
      </c>
      <c r="C57" s="63"/>
      <c r="D57" s="81">
        <f>D55+D53</f>
        <v>-90788.724000000031</v>
      </c>
      <c r="E57" s="81">
        <f>E55+E53</f>
        <v>45250.879999999976</v>
      </c>
      <c r="F57" s="81">
        <f>F55+F53</f>
        <v>-91384.123000000007</v>
      </c>
      <c r="G57" s="81">
        <f>G53-G55</f>
        <v>0</v>
      </c>
      <c r="H57" s="81">
        <f>H55+H53</f>
        <v>86.951000000000022</v>
      </c>
      <c r="I57" s="81">
        <f>I55+I53</f>
        <v>1.000000000000778E-3</v>
      </c>
      <c r="J57" s="81">
        <f>J55+J53</f>
        <v>1085.58</v>
      </c>
      <c r="K57" s="81">
        <f>K55+K53</f>
        <v>-136.2820000000001</v>
      </c>
      <c r="L57" s="81">
        <f>L53-L55</f>
        <v>21.067000000000007</v>
      </c>
      <c r="M57" s="81">
        <f>M53-M55</f>
        <v>-33490</v>
      </c>
      <c r="N57" s="81">
        <f>N55+N53</f>
        <v>-33468.932999999997</v>
      </c>
      <c r="O57" s="81">
        <f>O55+O53</f>
        <v>-12144.797999999999</v>
      </c>
      <c r="P57" s="81">
        <f>P55+P53</f>
        <v>-78</v>
      </c>
      <c r="R57" s="81">
        <f>R55+R53</f>
        <v>2503.7749999999996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99987</v>
      </c>
      <c r="C59" s="46"/>
      <c r="D59" s="70">
        <f>SUM(E59:P59)</f>
        <v>99987</v>
      </c>
      <c r="E59" s="80">
        <v>-13</v>
      </c>
      <c r="F59" s="80">
        <v>100000</v>
      </c>
      <c r="G59" s="80">
        <v>0</v>
      </c>
      <c r="H59" s="80">
        <v>0</v>
      </c>
      <c r="I59" s="80">
        <v>149</v>
      </c>
      <c r="J59" s="80">
        <v>-611</v>
      </c>
      <c r="K59" s="80">
        <v>462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11702.050999999963</v>
      </c>
      <c r="C61" s="46"/>
      <c r="D61" s="81">
        <f t="shared" ref="D61:M61" si="13">D57+D59</f>
        <v>9198.2759999999689</v>
      </c>
      <c r="E61" s="81">
        <f t="shared" si="13"/>
        <v>45237.879999999976</v>
      </c>
      <c r="F61" s="81">
        <f t="shared" si="13"/>
        <v>8615.8769999999931</v>
      </c>
      <c r="G61" s="81">
        <f t="shared" si="13"/>
        <v>0</v>
      </c>
      <c r="H61" s="81">
        <f t="shared" si="13"/>
        <v>86.951000000000022</v>
      </c>
      <c r="I61" s="81">
        <f t="shared" si="13"/>
        <v>149.001</v>
      </c>
      <c r="J61" s="81">
        <f t="shared" si="13"/>
        <v>474.57999999999993</v>
      </c>
      <c r="K61" s="81">
        <f t="shared" si="13"/>
        <v>325.7179999999999</v>
      </c>
      <c r="L61" s="81">
        <f t="shared" si="13"/>
        <v>21.067000000000007</v>
      </c>
      <c r="M61" s="81">
        <f t="shared" si="13"/>
        <v>-33490</v>
      </c>
      <c r="N61" s="81">
        <f>M61+L61</f>
        <v>-33468.932999999997</v>
      </c>
      <c r="O61" s="81">
        <f>O57+O59</f>
        <v>-12144.797999999999</v>
      </c>
      <c r="P61" s="81">
        <f>P57+P59</f>
        <v>-78</v>
      </c>
      <c r="R61" s="81">
        <f>R57+R59</f>
        <v>2503.7749999999996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-223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pageMargins left="0.5" right="0.5" top="0.5" bottom="0.5" header="0.5" footer="0.5"/>
  <pageSetup scale="7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showZeros="0" showOutlineSymbols="0" topLeftCell="E39" workbookViewId="0">
      <selection activeCell="E39"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24322.506999999969</v>
      </c>
      <c r="C8" s="63"/>
      <c r="D8" s="68">
        <f>SUM(E8:M8)+O8+P8</f>
        <v>25664.999999999967</v>
      </c>
      <c r="E8" s="68">
        <f>FebYTD!E8-'JAN2000'!E8</f>
        <v>19637.555999999968</v>
      </c>
      <c r="F8" s="68">
        <f>FebYTD!F8-'JAN2000'!F8</f>
        <v>4065.8829999999971</v>
      </c>
      <c r="G8" s="68">
        <f>FebYTD!G8-'JAN2000'!G8</f>
        <v>1854.8870000000002</v>
      </c>
      <c r="H8" s="68">
        <f>FebYTD!H8-'JAN2000'!H8</f>
        <v>157.57799999999986</v>
      </c>
      <c r="I8" s="68">
        <f>FebYTD!I8-'JAN2000'!I8</f>
        <v>1.000000000000778E-3</v>
      </c>
      <c r="J8" s="68">
        <f>FebYTD!J8-'JAN2000'!J8</f>
        <v>167.90300000000008</v>
      </c>
      <c r="K8" s="68">
        <f>FebYTD!K8-'JAN2000'!K8</f>
        <v>21.203999999999922</v>
      </c>
      <c r="L8" s="68">
        <f>FebYTD!L8-'JAN2000'!L8</f>
        <v>-25.800999999999998</v>
      </c>
      <c r="M8" s="68">
        <f>FebYTD!M8-'JAN2000'!M8</f>
        <v>0</v>
      </c>
      <c r="N8" s="68">
        <f>M8+L8</f>
        <v>-25.800999999999998</v>
      </c>
      <c r="O8" s="68">
        <f>FebYTD!O8-'JAN2000'!O8</f>
        <v>-214.21099999999956</v>
      </c>
      <c r="P8" s="68">
        <f>FebYTD!P8-'JAN2000'!P8</f>
        <v>0</v>
      </c>
      <c r="R8" s="48">
        <f>[5]FEB_MO!$H$8</f>
        <v>-1342.4929999999999</v>
      </c>
    </row>
    <row r="9" spans="1:18" ht="12.75" customHeight="1" outlineLevel="4" x14ac:dyDescent="0.2">
      <c r="A9" s="62" t="s">
        <v>29</v>
      </c>
      <c r="B9" s="69">
        <f>D9+R9</f>
        <v>4251.3989999999994</v>
      </c>
      <c r="C9" s="63"/>
      <c r="D9" s="70">
        <f>SUM(E9:M9)+O9+P9</f>
        <v>4251.3989999999994</v>
      </c>
      <c r="E9" s="70">
        <f>FebYTD!E9-'JAN2000'!E9</f>
        <v>-1205.2910000000002</v>
      </c>
      <c r="F9" s="70">
        <f>FebYTD!F9-'JAN2000'!F9</f>
        <v>332.72099999999995</v>
      </c>
      <c r="G9" s="70">
        <f>FebYTD!G9-'JAN2000'!G9</f>
        <v>0</v>
      </c>
      <c r="H9" s="70">
        <f>FebYTD!H9-'JAN2000'!H9</f>
        <v>292.65600000000001</v>
      </c>
      <c r="I9" s="70">
        <f>FebYTD!I9-'JAN2000'!I9</f>
        <v>0</v>
      </c>
      <c r="J9" s="70">
        <f>FebYTD!J9-'JAN2000'!J9</f>
        <v>27.116</v>
      </c>
      <c r="K9" s="70">
        <f>FebYTD!K9-'JAN2000'!K9</f>
        <v>0</v>
      </c>
      <c r="L9" s="70">
        <f>FebYTD!L9-'JAN2000'!L9</f>
        <v>0</v>
      </c>
      <c r="M9" s="70">
        <f>FebYTD!M9-'JAN2000'!M9</f>
        <v>0</v>
      </c>
      <c r="N9" s="70">
        <f>M9+L9</f>
        <v>0</v>
      </c>
      <c r="O9" s="70">
        <f>FebYTD!O9-'JAN2000'!O9</f>
        <v>4804.1970000000001</v>
      </c>
      <c r="P9" s="70">
        <f>FebYTD!P9-'JAN2000'!P9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28573.905999999966</v>
      </c>
      <c r="C10" s="63"/>
      <c r="D10" s="71">
        <f t="shared" ref="D10:M10" si="0">D8+D9</f>
        <v>29916.398999999969</v>
      </c>
      <c r="E10" s="71">
        <f t="shared" si="0"/>
        <v>18432.264999999967</v>
      </c>
      <c r="F10" s="71">
        <f t="shared" si="0"/>
        <v>4398.6039999999966</v>
      </c>
      <c r="G10" s="71">
        <f t="shared" si="0"/>
        <v>1854.8870000000002</v>
      </c>
      <c r="H10" s="71">
        <f t="shared" si="0"/>
        <v>450.23399999999987</v>
      </c>
      <c r="I10" s="71">
        <f t="shared" si="0"/>
        <v>1.000000000000778E-3</v>
      </c>
      <c r="J10" s="71">
        <f t="shared" si="0"/>
        <v>195.01900000000006</v>
      </c>
      <c r="K10" s="71">
        <f t="shared" si="0"/>
        <v>21.203999999999922</v>
      </c>
      <c r="L10" s="71">
        <f t="shared" si="0"/>
        <v>-25.800999999999998</v>
      </c>
      <c r="M10" s="71">
        <f t="shared" si="0"/>
        <v>0</v>
      </c>
      <c r="N10" s="71">
        <f>N8</f>
        <v>-25.800999999999998</v>
      </c>
      <c r="O10" s="71">
        <f>O8+O9</f>
        <v>4589.9860000000008</v>
      </c>
      <c r="P10" s="71">
        <f>P8+P9</f>
        <v>0</v>
      </c>
      <c r="R10" s="71">
        <f>R8+R9</f>
        <v>-1342.4929999999999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5029.5500000000011</v>
      </c>
      <c r="C12" s="63"/>
      <c r="D12" s="68">
        <f t="shared" ref="D12:D18" si="1">SUM(E12:M12)+O12+P12</f>
        <v>5029.5500000000011</v>
      </c>
      <c r="E12" s="68">
        <f>FebYTD!E12-'JAN2000'!E12</f>
        <v>3411.9390000000003</v>
      </c>
      <c r="F12" s="68">
        <f>FebYTD!F12-'JAN2000'!F12</f>
        <v>1606.4569999999999</v>
      </c>
      <c r="G12" s="68">
        <f>FebYTD!G12-'JAN2000'!G12</f>
        <v>0</v>
      </c>
      <c r="H12" s="68">
        <f>FebYTD!H12-'JAN2000'!H12</f>
        <v>0</v>
      </c>
      <c r="I12" s="68">
        <f>FebYTD!I12-'JAN2000'!I12</f>
        <v>0</v>
      </c>
      <c r="J12" s="68">
        <f>FebYTD!J12-'JAN2000'!J12</f>
        <v>0</v>
      </c>
      <c r="K12" s="68">
        <f>FebYTD!K12-'JAN2000'!K12</f>
        <v>0</v>
      </c>
      <c r="L12" s="68">
        <f>FebYTD!L12-'JAN2000'!L12</f>
        <v>11.154</v>
      </c>
      <c r="M12" s="68">
        <f>FebYTD!M12-'JAN2000'!M12</f>
        <v>0</v>
      </c>
      <c r="N12" s="68">
        <f t="shared" ref="N12:N18" si="2">M12+L12</f>
        <v>11.154</v>
      </c>
      <c r="O12" s="68">
        <f>FebYTD!O12-'JAN2000'!O12</f>
        <v>0</v>
      </c>
      <c r="P12" s="68">
        <f>FebYTD!P12-'JAN2000'!P12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1709.1040000000005</v>
      </c>
      <c r="C13" s="63"/>
      <c r="D13" s="68">
        <f t="shared" si="1"/>
        <v>1704.0410000000004</v>
      </c>
      <c r="E13" s="68">
        <f>FebYTD!E13-'JAN2000'!E13</f>
        <v>1565.5200000000002</v>
      </c>
      <c r="F13" s="68">
        <f>FebYTD!F13-'JAN2000'!F13</f>
        <v>66.048000000000116</v>
      </c>
      <c r="G13" s="68">
        <f>FebYTD!G13-'JAN2000'!G13</f>
        <v>0</v>
      </c>
      <c r="H13" s="68">
        <f>FebYTD!H13-'JAN2000'!H13</f>
        <v>67.774999999999991</v>
      </c>
      <c r="I13" s="68">
        <f>FebYTD!I13-'JAN2000'!I13</f>
        <v>0</v>
      </c>
      <c r="J13" s="68">
        <f>FebYTD!J13-'JAN2000'!J13</f>
        <v>0</v>
      </c>
      <c r="K13" s="68">
        <f>FebYTD!K13-'JAN2000'!K13</f>
        <v>-1.2150000000000001</v>
      </c>
      <c r="L13" s="68">
        <f>FebYTD!L13-'JAN2000'!L13</f>
        <v>5.9130000000000003</v>
      </c>
      <c r="M13" s="68">
        <f>FebYTD!M13-'JAN2000'!M13</f>
        <v>0</v>
      </c>
      <c r="N13" s="68">
        <f t="shared" si="2"/>
        <v>5.9130000000000003</v>
      </c>
      <c r="O13" s="68">
        <f>FebYTD!O13-'JAN2000'!O13</f>
        <v>0</v>
      </c>
      <c r="P13" s="68">
        <f>FebYTD!P13-'JAN2000'!P13</f>
        <v>0</v>
      </c>
      <c r="R13" s="48">
        <f>[5]FEB_MO!$H$13</f>
        <v>5.0629999999999997</v>
      </c>
    </row>
    <row r="14" spans="1:18" ht="12.75" customHeight="1" outlineLevel="4" x14ac:dyDescent="0.2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FebYTD!E14-'JAN2000'!E14</f>
        <v>0</v>
      </c>
      <c r="F14" s="68">
        <f>FebYTD!F14-'JAN2000'!F14</f>
        <v>0</v>
      </c>
      <c r="G14" s="68">
        <f>FebYTD!G14-'JAN2000'!G14</f>
        <v>0</v>
      </c>
      <c r="H14" s="68">
        <f>FebYTD!H14-'JAN2000'!H14</f>
        <v>0</v>
      </c>
      <c r="I14" s="68">
        <f>FebYTD!I14-'JAN2000'!I14</f>
        <v>0</v>
      </c>
      <c r="J14" s="68">
        <f>FebYTD!J14-'JAN2000'!J14</f>
        <v>0</v>
      </c>
      <c r="K14" s="68">
        <f>FebYTD!K14-'JAN2000'!K14</f>
        <v>0</v>
      </c>
      <c r="L14" s="68">
        <f>FebYTD!L14-'JAN2000'!L14</f>
        <v>0</v>
      </c>
      <c r="M14" s="68">
        <f>FebYTD!M14-'JAN2000'!M14</f>
        <v>0</v>
      </c>
      <c r="N14" s="68">
        <f t="shared" si="2"/>
        <v>0</v>
      </c>
      <c r="O14" s="68">
        <f>FebYTD!O14-'JAN2000'!O14</f>
        <v>0</v>
      </c>
      <c r="P14" s="68">
        <f>FebYTD!P14-'JAN2000'!P14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FebYTD!E15-'JAN2000'!E15</f>
        <v>0</v>
      </c>
      <c r="F15" s="68">
        <f>FebYTD!F15-'JAN2000'!F15</f>
        <v>0</v>
      </c>
      <c r="G15" s="68">
        <f>FebYTD!G15-'JAN2000'!G15</f>
        <v>0</v>
      </c>
      <c r="H15" s="68">
        <f>FebYTD!H15-'JAN2000'!H15</f>
        <v>0</v>
      </c>
      <c r="I15" s="68">
        <f>FebYTD!I15-'JAN2000'!I15</f>
        <v>0</v>
      </c>
      <c r="J15" s="68">
        <f>FebYTD!J15-'JAN2000'!J15</f>
        <v>0</v>
      </c>
      <c r="K15" s="68">
        <f>FebYTD!K15-'JAN2000'!K15</f>
        <v>0</v>
      </c>
      <c r="L15" s="68">
        <f>FebYTD!L15-'JAN2000'!L15</f>
        <v>0</v>
      </c>
      <c r="M15" s="68">
        <f>FebYTD!M15-'JAN2000'!M15</f>
        <v>0</v>
      </c>
      <c r="N15" s="68">
        <f t="shared" si="2"/>
        <v>0</v>
      </c>
      <c r="O15" s="68">
        <f>FebYTD!O15-'JAN2000'!O15</f>
        <v>0</v>
      </c>
      <c r="P15" s="68">
        <f>FebYTD!P15-'JAN2000'!P15</f>
        <v>0</v>
      </c>
    </row>
    <row r="16" spans="1:18" ht="12.75" customHeight="1" outlineLevel="4" x14ac:dyDescent="0.2">
      <c r="A16" s="67" t="s">
        <v>38</v>
      </c>
      <c r="B16" s="63">
        <f t="shared" si="3"/>
        <v>-704.40000000000009</v>
      </c>
      <c r="C16" s="63"/>
      <c r="D16" s="68">
        <f t="shared" si="1"/>
        <v>-2887.9639999999999</v>
      </c>
      <c r="E16" s="68">
        <f>FebYTD!E16-'JAN2000'!E16</f>
        <v>-346.13299999999992</v>
      </c>
      <c r="F16" s="68">
        <f>FebYTD!F16-'JAN2000'!F16</f>
        <v>0</v>
      </c>
      <c r="G16" s="68">
        <f>FebYTD!G16-'JAN2000'!G16</f>
        <v>-1854.8870000000002</v>
      </c>
      <c r="H16" s="68">
        <f>FebYTD!H16-'JAN2000'!H16</f>
        <v>-686.94399999999996</v>
      </c>
      <c r="I16" s="68">
        <f>FebYTD!I16-'JAN2000'!I16</f>
        <v>0</v>
      </c>
      <c r="J16" s="68">
        <f>FebYTD!J16-'JAN2000'!J16</f>
        <v>0</v>
      </c>
      <c r="K16" s="68">
        <f>FebYTD!K16-'JAN2000'!K16</f>
        <v>0</v>
      </c>
      <c r="L16" s="68">
        <f>FebYTD!L16-'JAN2000'!L16</f>
        <v>0</v>
      </c>
      <c r="M16" s="68">
        <f>FebYTD!M16-'JAN2000'!M16</f>
        <v>0</v>
      </c>
      <c r="N16" s="68">
        <f t="shared" si="2"/>
        <v>0</v>
      </c>
      <c r="O16" s="68">
        <f>FebYTD!O16-'JAN2000'!O16</f>
        <v>0</v>
      </c>
      <c r="P16" s="68">
        <f>FebYTD!P16-'JAN2000'!P16</f>
        <v>0</v>
      </c>
      <c r="R16" s="48">
        <f>[5]FEB_MO!$H$19</f>
        <v>2183.5639999999999</v>
      </c>
    </row>
    <row r="17" spans="1:18" ht="12.75" customHeight="1" outlineLevel="4" x14ac:dyDescent="0.2">
      <c r="A17" s="67" t="s">
        <v>39</v>
      </c>
      <c r="B17" s="63">
        <f t="shared" si="3"/>
        <v>2482</v>
      </c>
      <c r="C17" s="63"/>
      <c r="D17" s="68">
        <f t="shared" si="1"/>
        <v>816</v>
      </c>
      <c r="E17" s="68">
        <f>FebYTD!E17-'JAN2000'!E17</f>
        <v>0</v>
      </c>
      <c r="F17" s="68">
        <f>FebYTD!F17-'JAN2000'!F17</f>
        <v>0</v>
      </c>
      <c r="G17" s="68">
        <f>FebYTD!G17-'JAN2000'!G17</f>
        <v>0</v>
      </c>
      <c r="H17" s="68">
        <f>FebYTD!H17-'JAN2000'!H17</f>
        <v>816</v>
      </c>
      <c r="I17" s="68">
        <f>FebYTD!I17-'JAN2000'!I17</f>
        <v>0</v>
      </c>
      <c r="J17" s="68">
        <f>FebYTD!J17-'JAN2000'!J17</f>
        <v>0</v>
      </c>
      <c r="K17" s="68">
        <f>FebYTD!K17-'JAN2000'!K17</f>
        <v>0</v>
      </c>
      <c r="L17" s="68">
        <f>FebYTD!L17-'JAN2000'!L17</f>
        <v>0</v>
      </c>
      <c r="M17" s="68">
        <f>FebYTD!M17-'JAN2000'!M17</f>
        <v>0</v>
      </c>
      <c r="N17" s="68">
        <f t="shared" si="2"/>
        <v>0</v>
      </c>
      <c r="O17" s="68">
        <f>FebYTD!O17-'JAN2000'!O17</f>
        <v>0</v>
      </c>
      <c r="P17" s="68">
        <f>FebYTD!P17-'JAN2000'!P17</f>
        <v>0</v>
      </c>
      <c r="R17" s="48">
        <f>[5]FEB_MO!$H$20</f>
        <v>1666</v>
      </c>
    </row>
    <row r="18" spans="1:18" ht="12.75" customHeight="1" outlineLevel="4" x14ac:dyDescent="0.2">
      <c r="A18" s="67" t="s">
        <v>32</v>
      </c>
      <c r="B18" s="69">
        <f t="shared" si="3"/>
        <v>-23778</v>
      </c>
      <c r="C18" s="63"/>
      <c r="D18" s="68">
        <f t="shared" si="1"/>
        <v>-23777</v>
      </c>
      <c r="E18" s="68">
        <f>FebYTD!E18-'JAN2000'!E18</f>
        <v>-470</v>
      </c>
      <c r="F18" s="68">
        <f>FebYTD!F18-'JAN2000'!F18</f>
        <v>306</v>
      </c>
      <c r="G18" s="68">
        <f>FebYTD!G18-'JAN2000'!G18</f>
        <v>0</v>
      </c>
      <c r="H18" s="68">
        <f>FebYTD!H18-'JAN2000'!H18</f>
        <v>0</v>
      </c>
      <c r="I18" s="68">
        <f>FebYTD!I18-'JAN2000'!I18</f>
        <v>0</v>
      </c>
      <c r="J18" s="68">
        <f>FebYTD!J18-'JAN2000'!J18</f>
        <v>-242</v>
      </c>
      <c r="K18" s="68">
        <f>FebYTD!K18-'JAN2000'!K18</f>
        <v>0</v>
      </c>
      <c r="L18" s="68">
        <f>FebYTD!L18-'JAN2000'!L18</f>
        <v>-13</v>
      </c>
      <c r="M18" s="68">
        <f>FebYTD!M18-'JAN2000'!M18</f>
        <v>-16745</v>
      </c>
      <c r="N18" s="68">
        <f t="shared" si="2"/>
        <v>-16758</v>
      </c>
      <c r="O18" s="68">
        <f>FebYTD!O18-'JAN2000'!O18</f>
        <v>-6552</v>
      </c>
      <c r="P18" s="68">
        <f>FebYTD!P18-'JAN2000'!P18</f>
        <v>-61</v>
      </c>
      <c r="R18" s="55">
        <f>[5]FEB_MO!$H$21</f>
        <v>-1</v>
      </c>
    </row>
    <row r="19" spans="1:18" ht="12.75" customHeight="1" outlineLevel="4" x14ac:dyDescent="0.2">
      <c r="A19" s="62" t="s">
        <v>31</v>
      </c>
      <c r="B19" s="73">
        <f>SUM(B10:B18)</f>
        <v>13312.159999999967</v>
      </c>
      <c r="C19" s="63"/>
      <c r="D19" s="73">
        <f t="shared" ref="D19:P19" si="4">SUM(D10:D18)</f>
        <v>10801.025999999969</v>
      </c>
      <c r="E19" s="73">
        <f t="shared" si="4"/>
        <v>22593.590999999968</v>
      </c>
      <c r="F19" s="73">
        <f t="shared" si="4"/>
        <v>6377.1089999999958</v>
      </c>
      <c r="G19" s="73">
        <f t="shared" si="4"/>
        <v>0</v>
      </c>
      <c r="H19" s="73">
        <f t="shared" si="4"/>
        <v>647.06499999999994</v>
      </c>
      <c r="I19" s="73">
        <f t="shared" si="4"/>
        <v>1.000000000000778E-3</v>
      </c>
      <c r="J19" s="73">
        <f t="shared" si="4"/>
        <v>-46.980999999999938</v>
      </c>
      <c r="K19" s="73">
        <f t="shared" si="4"/>
        <v>19.988999999999923</v>
      </c>
      <c r="L19" s="73">
        <f t="shared" si="4"/>
        <v>-21.733999999999998</v>
      </c>
      <c r="M19" s="73">
        <f t="shared" si="4"/>
        <v>-16745</v>
      </c>
      <c r="N19" s="73">
        <f t="shared" si="4"/>
        <v>-16766.734</v>
      </c>
      <c r="O19" s="73">
        <f t="shared" si="4"/>
        <v>-1962.0139999999992</v>
      </c>
      <c r="P19" s="73">
        <f t="shared" si="4"/>
        <v>-61</v>
      </c>
      <c r="R19" s="73">
        <f>SUM(R10:R18)</f>
        <v>2511.134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-1419</v>
      </c>
      <c r="C22" s="63"/>
      <c r="D22" s="68">
        <f t="shared" ref="D22:D30" si="6">SUM(E22:M22)+O22+P22</f>
        <v>-1522</v>
      </c>
      <c r="E22" s="68">
        <f>FebYTD!E22-'JAN2000'!E22</f>
        <v>561</v>
      </c>
      <c r="F22" s="68">
        <f>FebYTD!F22-'JAN2000'!F22</f>
        <v>493</v>
      </c>
      <c r="G22" s="68">
        <f>FebYTD!G22-'JAN2000'!G22</f>
        <v>0</v>
      </c>
      <c r="H22" s="68">
        <f>FebYTD!H22-'JAN2000'!H22</f>
        <v>3</v>
      </c>
      <c r="I22" s="68">
        <f>FebYTD!I22-'JAN2000'!I22</f>
        <v>3</v>
      </c>
      <c r="J22" s="68">
        <f>FebYTD!J22-'JAN2000'!J22</f>
        <v>-232</v>
      </c>
      <c r="K22" s="68">
        <f>FebYTD!K22-'JAN2000'!K22</f>
        <v>48</v>
      </c>
      <c r="L22" s="68">
        <f>FebYTD!L22-'JAN2000'!L22</f>
        <v>0</v>
      </c>
      <c r="M22" s="68">
        <f>FebYTD!M22-'JAN2000'!M22</f>
        <v>0</v>
      </c>
      <c r="N22" s="68">
        <f t="shared" ref="N22:N30" si="7">M22+L22</f>
        <v>0</v>
      </c>
      <c r="O22" s="68">
        <f>FebYTD!O22-'JAN2000'!O22</f>
        <v>-2418</v>
      </c>
      <c r="P22" s="68">
        <f>FebYTD!P22-'JAN2000'!P22</f>
        <v>20</v>
      </c>
      <c r="R22" s="48">
        <f>[5]FEB_MO!$H$24</f>
        <v>103</v>
      </c>
    </row>
    <row r="23" spans="1:18" ht="12.75" customHeight="1" outlineLevel="4" x14ac:dyDescent="0.2">
      <c r="A23" s="67" t="s">
        <v>20</v>
      </c>
      <c r="B23" s="63">
        <f t="shared" si="5"/>
        <v>1110</v>
      </c>
      <c r="C23" s="63"/>
      <c r="D23" s="68">
        <f t="shared" si="6"/>
        <v>1110</v>
      </c>
      <c r="E23" s="68">
        <f>FebYTD!E23-'JAN2000'!E23</f>
        <v>2563</v>
      </c>
      <c r="F23" s="68">
        <f>FebYTD!F23-'JAN2000'!F23</f>
        <v>1296</v>
      </c>
      <c r="G23" s="68">
        <f>FebYTD!G23-'JAN2000'!G23</f>
        <v>0</v>
      </c>
      <c r="H23" s="68">
        <f>FebYTD!H23-'JAN2000'!H23</f>
        <v>0</v>
      </c>
      <c r="I23" s="68">
        <f>FebYTD!I23-'JAN2000'!I23</f>
        <v>-3</v>
      </c>
      <c r="J23" s="68">
        <f>FebYTD!J23-'JAN2000'!J23</f>
        <v>24</v>
      </c>
      <c r="K23" s="68">
        <f>FebYTD!K23-'JAN2000'!K23</f>
        <v>-144</v>
      </c>
      <c r="L23" s="68">
        <f>FebYTD!L23-'JAN2000'!L23</f>
        <v>43</v>
      </c>
      <c r="M23" s="68">
        <f>FebYTD!M23-'JAN2000'!M23</f>
        <v>-16</v>
      </c>
      <c r="N23" s="68">
        <f t="shared" si="7"/>
        <v>27</v>
      </c>
      <c r="O23" s="68">
        <f>FebYTD!O23-'JAN2000'!O23</f>
        <v>-2712</v>
      </c>
      <c r="P23" s="68">
        <f>FebYTD!P23-'JAN2000'!P23</f>
        <v>59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5"/>
        <v>8</v>
      </c>
      <c r="C24" s="63"/>
      <c r="D24" s="68">
        <f t="shared" si="6"/>
        <v>8</v>
      </c>
      <c r="E24" s="68">
        <f>FebYTD!E24-'JAN2000'!E24</f>
        <v>4</v>
      </c>
      <c r="F24" s="68">
        <f>FebYTD!F24-'JAN2000'!F24</f>
        <v>4</v>
      </c>
      <c r="G24" s="68">
        <f>FebYTD!G24-'JAN2000'!G24</f>
        <v>0</v>
      </c>
      <c r="H24" s="68">
        <f>FebYTD!H24-'JAN2000'!H24</f>
        <v>0</v>
      </c>
      <c r="I24" s="68">
        <f>FebYTD!I24-'JAN2000'!I24</f>
        <v>0</v>
      </c>
      <c r="J24" s="68">
        <f>FebYTD!J24-'JAN2000'!J24</f>
        <v>0</v>
      </c>
      <c r="K24" s="68">
        <f>FebYTD!K24-'JAN2000'!K24</f>
        <v>0</v>
      </c>
      <c r="L24" s="68">
        <f>FebYTD!L24-'JAN2000'!L24</f>
        <v>0</v>
      </c>
      <c r="M24" s="68">
        <f>FebYTD!M24-'JAN2000'!M24</f>
        <v>0</v>
      </c>
      <c r="N24" s="68">
        <f t="shared" si="7"/>
        <v>0</v>
      </c>
      <c r="O24" s="68">
        <f>FebYTD!O24-'JAN2000'!O24</f>
        <v>0</v>
      </c>
      <c r="P24" s="68">
        <f>FebYTD!P24-'JAN2000'!P24</f>
        <v>0</v>
      </c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5"/>
        <v>104</v>
      </c>
      <c r="C25" s="63"/>
      <c r="D25" s="68">
        <f t="shared" si="6"/>
        <v>104</v>
      </c>
      <c r="E25" s="68">
        <f>FebYTD!E25-'JAN2000'!E25</f>
        <v>90</v>
      </c>
      <c r="F25" s="68">
        <f>FebYTD!F25-'JAN2000'!F25</f>
        <v>14</v>
      </c>
      <c r="G25" s="68">
        <f>FebYTD!G25-'JAN2000'!G25</f>
        <v>0</v>
      </c>
      <c r="H25" s="68">
        <f>FebYTD!H25-'JAN2000'!H25</f>
        <v>0</v>
      </c>
      <c r="I25" s="68">
        <f>FebYTD!I25-'JAN2000'!I25</f>
        <v>0</v>
      </c>
      <c r="J25" s="68">
        <f>FebYTD!J25-'JAN2000'!J25</f>
        <v>0</v>
      </c>
      <c r="K25" s="68">
        <f>FebYTD!K25-'JAN2000'!K25</f>
        <v>0</v>
      </c>
      <c r="L25" s="68">
        <f>FebYTD!L25-'JAN2000'!L25</f>
        <v>0</v>
      </c>
      <c r="M25" s="68">
        <f>FebYTD!M25-'JAN2000'!M25</f>
        <v>0</v>
      </c>
      <c r="N25" s="68">
        <f t="shared" si="7"/>
        <v>0</v>
      </c>
      <c r="O25" s="68">
        <f>FebYTD!O25-'JAN2000'!O25</f>
        <v>0</v>
      </c>
      <c r="P25" s="68">
        <f>FebYTD!P25-'JAN2000'!P25</f>
        <v>0</v>
      </c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5"/>
        <v>2938</v>
      </c>
      <c r="C26" s="63"/>
      <c r="D26" s="68">
        <f t="shared" si="6"/>
        <v>2951</v>
      </c>
      <c r="E26" s="68">
        <f>FebYTD!E26-'JAN2000'!E26</f>
        <v>4644</v>
      </c>
      <c r="F26" s="68">
        <f>FebYTD!F26-'JAN2000'!F26</f>
        <v>-1321</v>
      </c>
      <c r="G26" s="68">
        <f>FebYTD!G26-'JAN2000'!G26</f>
        <v>0</v>
      </c>
      <c r="H26" s="68">
        <f>FebYTD!H26-'JAN2000'!H26</f>
        <v>379</v>
      </c>
      <c r="I26" s="68">
        <f>FebYTD!I26-'JAN2000'!I26</f>
        <v>0</v>
      </c>
      <c r="J26" s="68">
        <f>FebYTD!J26-'JAN2000'!J26</f>
        <v>-822</v>
      </c>
      <c r="K26" s="68">
        <f>FebYTD!K26-'JAN2000'!K26</f>
        <v>6</v>
      </c>
      <c r="L26" s="68">
        <f>FebYTD!L26-'JAN2000'!L26</f>
        <v>0</v>
      </c>
      <c r="M26" s="68">
        <f>FebYTD!M26-'JAN2000'!M26</f>
        <v>0</v>
      </c>
      <c r="N26" s="68">
        <f t="shared" si="7"/>
        <v>0</v>
      </c>
      <c r="O26" s="68">
        <f>FebYTD!O26-'JAN2000'!O26</f>
        <v>142</v>
      </c>
      <c r="P26" s="68">
        <f>FebYTD!P26-'JAN2000'!P26</f>
        <v>-77</v>
      </c>
      <c r="R26" s="48">
        <f>[5]FEB_MO!$H$29</f>
        <v>-13</v>
      </c>
    </row>
    <row r="27" spans="1:18" ht="12.75" customHeight="1" outlineLevel="4" x14ac:dyDescent="0.2">
      <c r="A27" s="62" t="s">
        <v>12</v>
      </c>
      <c r="B27" s="63">
        <f t="shared" si="5"/>
        <v>1030</v>
      </c>
      <c r="C27" s="63"/>
      <c r="D27" s="68">
        <f t="shared" si="6"/>
        <v>1030</v>
      </c>
      <c r="E27" s="68">
        <f>FebYTD!E27-'JAN2000'!E27</f>
        <v>1652</v>
      </c>
      <c r="F27" s="68">
        <f>FebYTD!F27-'JAN2000'!F27</f>
        <v>-622</v>
      </c>
      <c r="G27" s="68">
        <f>FebYTD!G27-'JAN2000'!G27</f>
        <v>0</v>
      </c>
      <c r="H27" s="68">
        <f>FebYTD!H27-'JAN2000'!H27</f>
        <v>0</v>
      </c>
      <c r="I27" s="68">
        <f>FebYTD!I27-'JAN2000'!I27</f>
        <v>0</v>
      </c>
      <c r="J27" s="68">
        <f>FebYTD!J27-'JAN2000'!J27</f>
        <v>0</v>
      </c>
      <c r="K27" s="68">
        <f>FebYTD!K27-'JAN2000'!K27</f>
        <v>0</v>
      </c>
      <c r="L27" s="68">
        <f>FebYTD!L27-'JAN2000'!L27</f>
        <v>0</v>
      </c>
      <c r="M27" s="68">
        <f>FebYTD!M27-'JAN2000'!M27</f>
        <v>0</v>
      </c>
      <c r="N27" s="68">
        <f t="shared" si="7"/>
        <v>0</v>
      </c>
      <c r="O27" s="68">
        <f>FebYTD!O27-'JAN2000'!O27</f>
        <v>0</v>
      </c>
      <c r="P27" s="68">
        <f>FebYTD!P27-'JAN2000'!P27</f>
        <v>0</v>
      </c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5"/>
        <v>2709</v>
      </c>
      <c r="C28" s="63"/>
      <c r="D28" s="68">
        <f t="shared" si="6"/>
        <v>2756</v>
      </c>
      <c r="E28" s="68">
        <f>FebYTD!E28-'JAN2000'!E28</f>
        <v>2154</v>
      </c>
      <c r="F28" s="68">
        <f>FebYTD!F28-'JAN2000'!F28</f>
        <v>582</v>
      </c>
      <c r="G28" s="68">
        <f>FebYTD!G28-'JAN2000'!G28</f>
        <v>0</v>
      </c>
      <c r="H28" s="68">
        <f>FebYTD!H28-'JAN2000'!H28</f>
        <v>3</v>
      </c>
      <c r="I28" s="68">
        <f>FebYTD!I28-'JAN2000'!I28</f>
        <v>0</v>
      </c>
      <c r="J28" s="68">
        <f>FebYTD!J28-'JAN2000'!J28</f>
        <v>0</v>
      </c>
      <c r="K28" s="68">
        <f>FebYTD!K28-'JAN2000'!K28</f>
        <v>1</v>
      </c>
      <c r="L28" s="68">
        <f>FebYTD!L28-'JAN2000'!L28</f>
        <v>0</v>
      </c>
      <c r="M28" s="68">
        <f>FebYTD!M28-'JAN2000'!M28</f>
        <v>16</v>
      </c>
      <c r="N28" s="68">
        <f t="shared" si="7"/>
        <v>16</v>
      </c>
      <c r="O28" s="68">
        <f>FebYTD!O28-'JAN2000'!O28</f>
        <v>0</v>
      </c>
      <c r="P28" s="68">
        <f>FebYTD!P28-'JAN2000'!P28</f>
        <v>0</v>
      </c>
      <c r="R28" s="48">
        <f>[5]FEB_MO!$H$31</f>
        <v>-47</v>
      </c>
    </row>
    <row r="29" spans="1:18" ht="12.75" customHeight="1" outlineLevel="4" x14ac:dyDescent="0.2">
      <c r="A29" s="67" t="s">
        <v>14</v>
      </c>
      <c r="B29" s="63">
        <f t="shared" si="5"/>
        <v>3198</v>
      </c>
      <c r="C29" s="63"/>
      <c r="D29" s="68">
        <f t="shared" si="6"/>
        <v>3198</v>
      </c>
      <c r="E29" s="68">
        <f>FebYTD!E29-'JAN2000'!E29</f>
        <v>2875</v>
      </c>
      <c r="F29" s="68">
        <f>FebYTD!F29-'JAN2000'!F29</f>
        <v>323</v>
      </c>
      <c r="G29" s="68">
        <f>FebYTD!G29-'JAN2000'!G29</f>
        <v>0</v>
      </c>
      <c r="H29" s="68">
        <f>FebYTD!H29-'JAN2000'!H29</f>
        <v>0</v>
      </c>
      <c r="I29" s="68">
        <f>FebYTD!I29-'JAN2000'!I29</f>
        <v>0</v>
      </c>
      <c r="J29" s="68">
        <f>FebYTD!J29-'JAN2000'!J29</f>
        <v>0</v>
      </c>
      <c r="K29" s="68">
        <f>FebYTD!K29-'JAN2000'!K29</f>
        <v>0</v>
      </c>
      <c r="L29" s="68">
        <f>FebYTD!L29-'JAN2000'!L29</f>
        <v>0</v>
      </c>
      <c r="M29" s="68">
        <f>FebYTD!M29-'JAN2000'!M29</f>
        <v>0</v>
      </c>
      <c r="N29" s="68">
        <f t="shared" si="7"/>
        <v>0</v>
      </c>
      <c r="O29" s="68">
        <f>FebYTD!O29-'JAN2000'!O29</f>
        <v>0</v>
      </c>
      <c r="P29" s="68">
        <f>FebYTD!P29-'JAN2000'!P29</f>
        <v>0</v>
      </c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5"/>
        <v>-10629</v>
      </c>
      <c r="C30" s="63"/>
      <c r="D30" s="68">
        <f t="shared" si="6"/>
        <v>-10629</v>
      </c>
      <c r="E30" s="68">
        <f>FebYTD!E30-'JAN2000'!E30</f>
        <v>-5385</v>
      </c>
      <c r="F30" s="68">
        <f>FebYTD!F30-'JAN2000'!F30</f>
        <v>-834</v>
      </c>
      <c r="G30" s="68">
        <f>FebYTD!G30-'JAN2000'!G30</f>
        <v>0</v>
      </c>
      <c r="H30" s="68">
        <f>FebYTD!H30-'JAN2000'!H30</f>
        <v>-1468</v>
      </c>
      <c r="I30" s="68">
        <f>FebYTD!I30-'JAN2000'!I30</f>
        <v>0</v>
      </c>
      <c r="J30" s="68">
        <f>FebYTD!J30-'JAN2000'!J30</f>
        <v>0</v>
      </c>
      <c r="K30" s="68">
        <f>FebYTD!K30-'JAN2000'!K30</f>
        <v>0</v>
      </c>
      <c r="L30" s="68">
        <f>FebYTD!L30-'JAN2000'!L30</f>
        <v>0</v>
      </c>
      <c r="M30" s="68">
        <f>FebYTD!M30-'JAN2000'!M30</f>
        <v>0</v>
      </c>
      <c r="N30" s="68">
        <f t="shared" si="7"/>
        <v>0</v>
      </c>
      <c r="O30" s="68">
        <f>FebYTD!O30-'JAN2000'!O30</f>
        <v>-2942</v>
      </c>
      <c r="P30" s="68">
        <f>FebYTD!P30-'JAN2000'!P30</f>
        <v>0</v>
      </c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-951</v>
      </c>
      <c r="C31" s="74"/>
      <c r="D31" s="84">
        <f t="shared" ref="D31:P31" si="8">SUM(D21:D30)</f>
        <v>-994</v>
      </c>
      <c r="E31" s="84">
        <f t="shared" si="8"/>
        <v>9158</v>
      </c>
      <c r="F31" s="84">
        <f t="shared" si="8"/>
        <v>-65</v>
      </c>
      <c r="G31" s="84">
        <f t="shared" si="8"/>
        <v>0</v>
      </c>
      <c r="H31" s="84">
        <f t="shared" si="8"/>
        <v>-1083</v>
      </c>
      <c r="I31" s="84">
        <f t="shared" si="8"/>
        <v>0</v>
      </c>
      <c r="J31" s="84">
        <f t="shared" si="8"/>
        <v>-1030</v>
      </c>
      <c r="K31" s="84">
        <f t="shared" si="8"/>
        <v>-89</v>
      </c>
      <c r="L31" s="84">
        <f t="shared" si="8"/>
        <v>43</v>
      </c>
      <c r="M31" s="84">
        <f t="shared" si="8"/>
        <v>0</v>
      </c>
      <c r="N31" s="84">
        <f t="shared" si="8"/>
        <v>43</v>
      </c>
      <c r="O31" s="84">
        <f t="shared" si="8"/>
        <v>-7930</v>
      </c>
      <c r="P31" s="84">
        <f t="shared" si="8"/>
        <v>2</v>
      </c>
      <c r="R31" s="84">
        <f>SUM(R21:R30)</f>
        <v>43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12361.159999999967</v>
      </c>
      <c r="C33" s="63"/>
      <c r="D33" s="75">
        <f>D19+D31</f>
        <v>9807.0259999999689</v>
      </c>
      <c r="E33" s="75">
        <f>E19+E31</f>
        <v>31751.590999999968</v>
      </c>
      <c r="F33" s="75">
        <f t="shared" ref="F33:M33" si="9">F19+F31</f>
        <v>6312.1089999999958</v>
      </c>
      <c r="G33" s="75">
        <f t="shared" si="9"/>
        <v>0</v>
      </c>
      <c r="H33" s="75">
        <f t="shared" si="9"/>
        <v>-435.93500000000006</v>
      </c>
      <c r="I33" s="75">
        <f t="shared" si="9"/>
        <v>1.000000000000778E-3</v>
      </c>
      <c r="J33" s="75">
        <f t="shared" si="9"/>
        <v>-1076.981</v>
      </c>
      <c r="K33" s="75">
        <f t="shared" si="9"/>
        <v>-69.011000000000081</v>
      </c>
      <c r="L33" s="75">
        <f t="shared" si="9"/>
        <v>21.266000000000002</v>
      </c>
      <c r="M33" s="75">
        <f t="shared" si="9"/>
        <v>-16745</v>
      </c>
      <c r="N33" s="75">
        <f>N19+N31</f>
        <v>-16723.734</v>
      </c>
      <c r="O33" s="75">
        <f>O19+O31</f>
        <v>-9892.0139999999992</v>
      </c>
      <c r="P33" s="75">
        <f>P19+P31</f>
        <v>-59</v>
      </c>
      <c r="R33" s="75">
        <f>R19+R31</f>
        <v>2554.134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10">D36+R36</f>
        <v>61</v>
      </c>
      <c r="C36" s="63"/>
      <c r="D36" s="68">
        <f>SUM(E36:M36)+O36+P36</f>
        <v>61</v>
      </c>
      <c r="E36" s="68">
        <f>FebYTD!E36-'JAN2000'!E36</f>
        <v>61</v>
      </c>
      <c r="F36" s="68">
        <f>FebYTD!F36-'JAN2000'!F36</f>
        <v>0</v>
      </c>
      <c r="G36" s="68">
        <f>FebYTD!G36-'JAN2000'!G36</f>
        <v>0</v>
      </c>
      <c r="H36" s="68">
        <f>FebYTD!H36-'JAN2000'!H36</f>
        <v>0</v>
      </c>
      <c r="I36" s="68">
        <f>FebYTD!I36-'JAN2000'!I36</f>
        <v>0</v>
      </c>
      <c r="J36" s="68">
        <f>FebYTD!J36-'JAN2000'!J36</f>
        <v>0</v>
      </c>
      <c r="K36" s="68">
        <f>FebYTD!K36-'JAN2000'!K36</f>
        <v>0</v>
      </c>
      <c r="L36" s="68">
        <f>FebYTD!L36-'JAN2000'!L36</f>
        <v>0</v>
      </c>
      <c r="M36" s="68">
        <f>FebYTD!M36-'JAN2000'!M36</f>
        <v>0</v>
      </c>
      <c r="N36" s="76"/>
      <c r="O36" s="68">
        <f>FebYTD!O36-'JAN2000'!O36</f>
        <v>0</v>
      </c>
      <c r="P36" s="68">
        <f>FebYTD!P36-'JAN2000'!P36</f>
        <v>0</v>
      </c>
    </row>
    <row r="37" spans="1:18" ht="12.75" customHeight="1" outlineLevel="4" x14ac:dyDescent="0.2">
      <c r="A37" s="62" t="s">
        <v>17</v>
      </c>
      <c r="B37" s="63">
        <f t="shared" si="10"/>
        <v>-2862</v>
      </c>
      <c r="C37" s="63"/>
      <c r="D37" s="68">
        <f>SUM(E37:M37)+O37+P37</f>
        <v>-2862</v>
      </c>
      <c r="E37" s="68">
        <f>FebYTD!E37-'JAN2000'!E37</f>
        <v>-1559</v>
      </c>
      <c r="F37" s="68">
        <f>FebYTD!F37-'JAN2000'!F37</f>
        <v>-1303</v>
      </c>
      <c r="G37" s="68">
        <f>FebYTD!G37-'JAN2000'!G37</f>
        <v>0</v>
      </c>
      <c r="H37" s="68">
        <f>FebYTD!H37-'JAN2000'!H37</f>
        <v>0</v>
      </c>
      <c r="I37" s="68">
        <f>FebYTD!I37-'JAN2000'!I37</f>
        <v>0</v>
      </c>
      <c r="J37" s="68">
        <f>FebYTD!J37-'JAN2000'!J37</f>
        <v>0</v>
      </c>
      <c r="K37" s="68">
        <f>FebYTD!K37-'JAN2000'!K37</f>
        <v>0</v>
      </c>
      <c r="L37" s="68">
        <f>FebYTD!L37-'JAN2000'!L37</f>
        <v>0</v>
      </c>
      <c r="M37" s="68">
        <f>FebYTD!M37-'JAN2000'!M37</f>
        <v>0</v>
      </c>
      <c r="N37" s="68">
        <f t="shared" ref="N37:N42" si="11">M37+L37</f>
        <v>0</v>
      </c>
      <c r="O37" s="68">
        <f>FebYTD!O37-'JAN2000'!O37</f>
        <v>0</v>
      </c>
      <c r="P37" s="68">
        <f>FebYTD!P37-'JAN2000'!P37</f>
        <v>0</v>
      </c>
    </row>
    <row r="38" spans="1:18" ht="12.75" customHeight="1" outlineLevel="4" x14ac:dyDescent="0.2">
      <c r="A38" s="62" t="s">
        <v>104</v>
      </c>
      <c r="B38" s="63">
        <f t="shared" si="10"/>
        <v>-3508</v>
      </c>
      <c r="C38" s="63"/>
      <c r="D38" s="68">
        <f>SUM(E38:M38)+O38+P38</f>
        <v>-3508</v>
      </c>
      <c r="E38" s="68">
        <f>FebYTD!E38-'JAN2000'!E38</f>
        <v>-4034</v>
      </c>
      <c r="F38" s="68">
        <f>FebYTD!F38-'JAN2000'!F38</f>
        <v>526</v>
      </c>
      <c r="G38" s="68">
        <f>FebYTD!G38-'JAN2000'!G38</f>
        <v>0</v>
      </c>
      <c r="H38" s="68">
        <f>FebYTD!H38-'JAN2000'!H38</f>
        <v>0</v>
      </c>
      <c r="I38" s="68">
        <f>FebYTD!I38-'JAN2000'!I38</f>
        <v>0</v>
      </c>
      <c r="J38" s="68">
        <f>FebYTD!J38-'JAN2000'!J38</f>
        <v>0</v>
      </c>
      <c r="K38" s="68">
        <f>FebYTD!K38-'JAN2000'!K38</f>
        <v>0</v>
      </c>
      <c r="L38" s="68">
        <f>FebYTD!L38-'JAN2000'!L38</f>
        <v>0</v>
      </c>
      <c r="M38" s="68">
        <f>FebYTD!M38-'JAN2000'!M38</f>
        <v>0</v>
      </c>
      <c r="N38" s="68">
        <f t="shared" si="11"/>
        <v>0</v>
      </c>
      <c r="O38" s="68">
        <f>FebYTD!O38-'JAN2000'!O38</f>
        <v>0</v>
      </c>
      <c r="P38" s="68">
        <f>FebYTD!P38-'JAN2000'!P38</f>
        <v>0</v>
      </c>
    </row>
    <row r="39" spans="1:18" ht="12.75" customHeight="1" outlineLevel="4" x14ac:dyDescent="0.2">
      <c r="A39" s="62" t="s">
        <v>105</v>
      </c>
      <c r="B39" s="63">
        <f t="shared" si="10"/>
        <v>43400</v>
      </c>
      <c r="C39" s="63"/>
      <c r="D39" s="68">
        <f>SUM(E39:P39)</f>
        <v>0</v>
      </c>
      <c r="E39" s="68">
        <f>FebYTD!E39-'JAN2000'!E39</f>
        <v>0</v>
      </c>
      <c r="F39" s="68">
        <f>FebYTD!F39-'JAN2000'!F39</f>
        <v>0</v>
      </c>
      <c r="G39" s="68">
        <f>FebYTD!G39-'JAN2000'!G39</f>
        <v>0</v>
      </c>
      <c r="H39" s="68">
        <f>FebYTD!H39-'JAN2000'!H39</f>
        <v>0</v>
      </c>
      <c r="I39" s="68">
        <f>FebYTD!I39-'JAN2000'!I39</f>
        <v>0</v>
      </c>
      <c r="J39" s="68">
        <f>FebYTD!J39-'JAN2000'!J39</f>
        <v>0</v>
      </c>
      <c r="K39" s="68">
        <f>FebYTD!K39-'JAN2000'!K39</f>
        <v>0</v>
      </c>
      <c r="L39" s="68">
        <f>FebYTD!L39-'JAN2000'!L39</f>
        <v>0</v>
      </c>
      <c r="M39" s="68">
        <f>FebYTD!M39-'JAN2000'!M39</f>
        <v>0</v>
      </c>
      <c r="N39" s="68">
        <f t="shared" si="11"/>
        <v>0</v>
      </c>
      <c r="O39" s="68">
        <f>FebYTD!O39-'JAN2000'!O39</f>
        <v>0</v>
      </c>
      <c r="P39" s="68">
        <f>FebYTD!P39-'JAN2000'!P39</f>
        <v>0</v>
      </c>
      <c r="R39" s="48">
        <f>[5]FEB_MO!$H$42</f>
        <v>43400</v>
      </c>
    </row>
    <row r="40" spans="1:18" ht="12.75" customHeight="1" outlineLevel="4" x14ac:dyDescent="0.2">
      <c r="A40" s="62" t="s">
        <v>106</v>
      </c>
      <c r="B40" s="63">
        <f t="shared" si="10"/>
        <v>315</v>
      </c>
      <c r="C40" s="63"/>
      <c r="D40" s="68"/>
      <c r="E40" s="68">
        <f>FebYTD!E40-'JAN2000'!E40</f>
        <v>0</v>
      </c>
      <c r="F40" s="68">
        <f>FebYTD!F40-'JAN2000'!F40</f>
        <v>0</v>
      </c>
      <c r="G40" s="68">
        <f>FebYTD!G40-'JAN2000'!G40</f>
        <v>0</v>
      </c>
      <c r="H40" s="68">
        <f>FebYTD!H40-'JAN2000'!H40</f>
        <v>0</v>
      </c>
      <c r="I40" s="68">
        <f>FebYTD!I40-'JAN2000'!I40</f>
        <v>0</v>
      </c>
      <c r="J40" s="68">
        <f>FebYTD!J40-'JAN2000'!J40</f>
        <v>0</v>
      </c>
      <c r="K40" s="68">
        <f>FebYTD!K40-'JAN2000'!K40</f>
        <v>0</v>
      </c>
      <c r="L40" s="68">
        <f>FebYTD!L40-'JAN2000'!L40</f>
        <v>0</v>
      </c>
      <c r="M40" s="68">
        <f>FebYTD!M40-'JAN2000'!M40</f>
        <v>0</v>
      </c>
      <c r="N40" s="68">
        <f t="shared" si="11"/>
        <v>0</v>
      </c>
      <c r="O40" s="68">
        <f>FebYTD!O40-'JAN2000'!O40</f>
        <v>0</v>
      </c>
      <c r="P40" s="68">
        <f>FebYTD!P40-'JAN2000'!P40</f>
        <v>0</v>
      </c>
      <c r="R40" s="48">
        <f>[5]FEB_MO!$H$43</f>
        <v>315</v>
      </c>
    </row>
    <row r="41" spans="1:18" ht="12.75" customHeight="1" outlineLevel="4" x14ac:dyDescent="0.2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FebYTD!E41-'JAN2000'!E41</f>
        <v>0</v>
      </c>
      <c r="F41" s="68">
        <f>FebYTD!F41-'JAN2000'!F41</f>
        <v>0</v>
      </c>
      <c r="G41" s="68">
        <f>FebYTD!G41-'JAN2000'!G41</f>
        <v>0</v>
      </c>
      <c r="H41" s="68">
        <f>FebYTD!H41-'JAN2000'!H41</f>
        <v>0</v>
      </c>
      <c r="I41" s="68">
        <f>FebYTD!I41-'JAN2000'!I41</f>
        <v>0</v>
      </c>
      <c r="J41" s="68">
        <f>FebYTD!J41-'JAN2000'!J41</f>
        <v>0</v>
      </c>
      <c r="K41" s="68">
        <f>FebYTD!K41-'JAN2000'!K41</f>
        <v>0</v>
      </c>
      <c r="L41" s="68">
        <f>FebYTD!L41-'JAN2000'!L41</f>
        <v>0</v>
      </c>
      <c r="M41" s="68">
        <f>FebYTD!M41-'JAN2000'!M41</f>
        <v>0</v>
      </c>
      <c r="N41" s="68">
        <f t="shared" si="11"/>
        <v>0</v>
      </c>
      <c r="O41" s="68">
        <f>FebYTD!O41-'JAN2000'!O41</f>
        <v>0</v>
      </c>
      <c r="P41" s="68">
        <f>FebYTD!P41-'JAN2000'!P41</f>
        <v>0</v>
      </c>
    </row>
    <row r="42" spans="1:18" ht="12.75" customHeight="1" outlineLevel="4" x14ac:dyDescent="0.2">
      <c r="A42" s="67" t="s">
        <v>41</v>
      </c>
      <c r="B42" s="69">
        <f t="shared" si="10"/>
        <v>0</v>
      </c>
      <c r="C42" s="63"/>
      <c r="D42" s="70">
        <f>SUM(E42:M42)+O42+P42</f>
        <v>0</v>
      </c>
      <c r="E42" s="70">
        <f>FebYTD!E42-'JAN2000'!E42</f>
        <v>0</v>
      </c>
      <c r="F42" s="70">
        <f>FebYTD!F42-'JAN2000'!F42</f>
        <v>0</v>
      </c>
      <c r="G42" s="70">
        <f>FebYTD!G42-'JAN2000'!G42</f>
        <v>0</v>
      </c>
      <c r="H42" s="70">
        <f>FebYTD!H42-'JAN2000'!H42</f>
        <v>0</v>
      </c>
      <c r="I42" s="70">
        <f>FebYTD!I42-'JAN2000'!I42</f>
        <v>0</v>
      </c>
      <c r="J42" s="70">
        <f>FebYTD!J42-'JAN2000'!J42</f>
        <v>0</v>
      </c>
      <c r="K42" s="70">
        <f>FebYTD!K42-'JAN2000'!K42</f>
        <v>0</v>
      </c>
      <c r="L42" s="70">
        <f>FebYTD!L42-'JAN2000'!L42</f>
        <v>0</v>
      </c>
      <c r="M42" s="70">
        <f>FebYTD!M42-'JAN2000'!M42</f>
        <v>0</v>
      </c>
      <c r="N42" s="70">
        <f t="shared" si="11"/>
        <v>0</v>
      </c>
      <c r="O42" s="70">
        <f>FebYTD!O42-'JAN2000'!O42</f>
        <v>0</v>
      </c>
      <c r="P42" s="70">
        <f>FebYTD!P42-'JAN2000'!P42</f>
        <v>0</v>
      </c>
      <c r="R42" s="55"/>
    </row>
    <row r="43" spans="1:18" ht="12.75" customHeight="1" outlineLevel="3" x14ac:dyDescent="0.2">
      <c r="A43" s="62" t="s">
        <v>18</v>
      </c>
      <c r="B43" s="75">
        <f t="shared" ref="B43:P43" si="12">SUM(B36:B42)</f>
        <v>37406</v>
      </c>
      <c r="C43" s="77">
        <f t="shared" si="12"/>
        <v>0</v>
      </c>
      <c r="D43" s="75">
        <f t="shared" si="12"/>
        <v>-6309</v>
      </c>
      <c r="E43" s="75">
        <f t="shared" si="12"/>
        <v>-5532</v>
      </c>
      <c r="F43" s="75">
        <f t="shared" si="12"/>
        <v>-777</v>
      </c>
      <c r="G43" s="75">
        <f t="shared" si="12"/>
        <v>0</v>
      </c>
      <c r="H43" s="75">
        <f t="shared" si="12"/>
        <v>0</v>
      </c>
      <c r="I43" s="75">
        <f t="shared" si="12"/>
        <v>0</v>
      </c>
      <c r="J43" s="75">
        <f t="shared" si="12"/>
        <v>0</v>
      </c>
      <c r="K43" s="75">
        <f t="shared" si="12"/>
        <v>0</v>
      </c>
      <c r="L43" s="75">
        <f t="shared" si="12"/>
        <v>0</v>
      </c>
      <c r="M43" s="75">
        <f t="shared" si="12"/>
        <v>0</v>
      </c>
      <c r="N43" s="75">
        <f t="shared" si="12"/>
        <v>0</v>
      </c>
      <c r="O43" s="75">
        <f t="shared" si="12"/>
        <v>0</v>
      </c>
      <c r="P43" s="75">
        <f t="shared" si="12"/>
        <v>0</v>
      </c>
      <c r="R43" s="73">
        <f>SUM(R36:R42)</f>
        <v>43715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FebYTD!E46-'JAN2000'!E46</f>
        <v>0</v>
      </c>
      <c r="F46" s="68">
        <f>FebYTD!F46-'JAN2000'!F46</f>
        <v>0</v>
      </c>
      <c r="G46" s="68">
        <f>FebYTD!G46-'JAN2000'!G46</f>
        <v>0</v>
      </c>
      <c r="H46" s="68">
        <f>FebYTD!H46-'JAN2000'!H46</f>
        <v>0</v>
      </c>
      <c r="I46" s="68">
        <f>FebYTD!I46-'JAN2000'!I46</f>
        <v>0</v>
      </c>
      <c r="J46" s="68">
        <f>FebYTD!J46-'JAN2000'!J46</f>
        <v>0</v>
      </c>
      <c r="K46" s="68">
        <f>FebYTD!K46-'JAN2000'!K46</f>
        <v>0</v>
      </c>
      <c r="L46" s="68">
        <f>FebYTD!L46-'JAN2000'!L46</f>
        <v>0</v>
      </c>
      <c r="M46" s="68">
        <f>FebYTD!M46-'JAN2000'!M46</f>
        <v>0</v>
      </c>
      <c r="N46" s="68"/>
      <c r="O46" s="68">
        <f>FebYTD!O46-'JAN2000'!O46</f>
        <v>0</v>
      </c>
      <c r="P46" s="68">
        <f>FebYTD!P46-'JAN2000'!P46</f>
        <v>0</v>
      </c>
    </row>
    <row r="47" spans="1:18" ht="12.75" customHeight="1" outlineLevel="4" x14ac:dyDescent="0.2">
      <c r="A47" s="67" t="s">
        <v>45</v>
      </c>
      <c r="B47" s="63">
        <f>D47+R47</f>
        <v>-7</v>
      </c>
      <c r="C47" s="63"/>
      <c r="D47" s="68">
        <f>SUM(E47:M47)+O47+P47</f>
        <v>-7</v>
      </c>
      <c r="E47" s="68">
        <f>FebYTD!E47-'JAN2000'!E47</f>
        <v>-7</v>
      </c>
      <c r="F47" s="68">
        <f>FebYTD!F47-'JAN2000'!F47</f>
        <v>0</v>
      </c>
      <c r="G47" s="68">
        <f>FebYTD!G47-'JAN2000'!G47</f>
        <v>0</v>
      </c>
      <c r="H47" s="68">
        <f>FebYTD!H47-'JAN2000'!H47</f>
        <v>0</v>
      </c>
      <c r="I47" s="68">
        <f>FebYTD!I47-'JAN2000'!I47</f>
        <v>0</v>
      </c>
      <c r="J47" s="68">
        <f>FebYTD!J47-'JAN2000'!J47</f>
        <v>0</v>
      </c>
      <c r="K47" s="68">
        <f>FebYTD!K47-'JAN2000'!K47</f>
        <v>0</v>
      </c>
      <c r="L47" s="68">
        <f>FebYTD!L47-'JAN2000'!L47</f>
        <v>0</v>
      </c>
      <c r="M47" s="68">
        <f>FebYTD!M47-'JAN2000'!M47</f>
        <v>0</v>
      </c>
      <c r="N47" s="68"/>
      <c r="O47" s="68">
        <f>FebYTD!O47-'JAN2000'!O47</f>
        <v>0</v>
      </c>
      <c r="P47" s="68">
        <f>FebYTD!P47-'JAN2000'!P47</f>
        <v>0</v>
      </c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>
        <f>FebYTD!E48-'JAN2000'!E48</f>
        <v>0</v>
      </c>
      <c r="F48" s="68">
        <f>FebYTD!F48-'JAN2000'!F48</f>
        <v>0</v>
      </c>
      <c r="G48" s="68">
        <f>FebYTD!G48-'JAN2000'!G48</f>
        <v>0</v>
      </c>
      <c r="H48" s="68">
        <f>FebYTD!H48-'JAN2000'!H48</f>
        <v>0</v>
      </c>
      <c r="I48" s="68">
        <f>FebYTD!I48-'JAN2000'!I48</f>
        <v>0</v>
      </c>
      <c r="J48" s="68">
        <f>FebYTD!J48-'JAN2000'!J48</f>
        <v>0</v>
      </c>
      <c r="K48" s="68">
        <f>FebYTD!K48-'JAN2000'!K48</f>
        <v>0</v>
      </c>
      <c r="L48" s="68">
        <f>FebYTD!L48-'JAN2000'!L48</f>
        <v>0</v>
      </c>
      <c r="M48" s="68">
        <f>FebYTD!M48-'JAN2000'!M48</f>
        <v>0</v>
      </c>
      <c r="N48" s="68"/>
      <c r="O48" s="68">
        <f>FebYTD!O48-'JAN2000'!O48</f>
        <v>0</v>
      </c>
      <c r="P48" s="68">
        <f>FebYTD!P48-'JAN2000'!P48</f>
        <v>0</v>
      </c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FebYTD!E49-'JAN2000'!E49</f>
        <v>0</v>
      </c>
      <c r="F49" s="68">
        <f>FebYTD!F49-'JAN2000'!F49</f>
        <v>0</v>
      </c>
      <c r="G49" s="68">
        <f>FebYTD!G49-'JAN2000'!G49</f>
        <v>0</v>
      </c>
      <c r="H49" s="68">
        <f>FebYTD!H49-'JAN2000'!H49</f>
        <v>0</v>
      </c>
      <c r="I49" s="68">
        <f>FebYTD!I49-'JAN2000'!I49</f>
        <v>0</v>
      </c>
      <c r="J49" s="68">
        <f>FebYTD!J49-'JAN2000'!J49</f>
        <v>0</v>
      </c>
      <c r="K49" s="68">
        <f>FebYTD!K49-'JAN2000'!K49</f>
        <v>0</v>
      </c>
      <c r="L49" s="68">
        <f>FebYTD!L49-'JAN2000'!L49</f>
        <v>0</v>
      </c>
      <c r="M49" s="68">
        <f>FebYTD!M49-'JAN2000'!M49</f>
        <v>0</v>
      </c>
      <c r="N49" s="68"/>
      <c r="O49" s="68">
        <f>FebYTD!O49-'JAN2000'!O49</f>
        <v>0</v>
      </c>
      <c r="P49" s="68">
        <f>FebYTD!P49-'JAN2000'!P49</f>
        <v>0</v>
      </c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FebYTD!E50-'JAN2000'!E50</f>
        <v>0</v>
      </c>
      <c r="F50" s="68">
        <f>FebYTD!F50-'JAN2000'!F50</f>
        <v>0</v>
      </c>
      <c r="G50" s="68">
        <f>FebYTD!G50-'JAN2000'!G50</f>
        <v>0</v>
      </c>
      <c r="H50" s="68">
        <f>FebYTD!H50-'JAN2000'!H50</f>
        <v>0</v>
      </c>
      <c r="I50" s="68">
        <f>FebYTD!I50-'JAN2000'!I50</f>
        <v>0</v>
      </c>
      <c r="J50" s="68">
        <f>FebYTD!J50-'JAN2000'!J50</f>
        <v>0</v>
      </c>
      <c r="K50" s="68">
        <f>FebYTD!K50-'JAN2000'!K50</f>
        <v>0</v>
      </c>
      <c r="L50" s="68">
        <f>FebYTD!L50-'JAN2000'!L50</f>
        <v>0</v>
      </c>
      <c r="M50" s="68">
        <f>FebYTD!M50-'JAN2000'!M50</f>
        <v>0</v>
      </c>
      <c r="N50" s="72"/>
      <c r="O50" s="68">
        <f>FebYTD!O50-'JAN2000'!O50</f>
        <v>0</v>
      </c>
      <c r="P50" s="68">
        <f>FebYTD!P50-'JAN2000'!P50</f>
        <v>0</v>
      </c>
      <c r="R50" s="55"/>
    </row>
    <row r="51" spans="1:18" ht="12.75" customHeight="1" outlineLevel="3" x14ac:dyDescent="0.2">
      <c r="A51" s="62" t="s">
        <v>19</v>
      </c>
      <c r="B51" s="79">
        <f>SUM(B46:B50)</f>
        <v>-7</v>
      </c>
      <c r="C51" s="63"/>
      <c r="D51" s="79">
        <f t="shared" ref="D51:P51" si="13">SUM(D46:D50)</f>
        <v>-7</v>
      </c>
      <c r="E51" s="79">
        <f t="shared" si="13"/>
        <v>-7</v>
      </c>
      <c r="F51" s="79">
        <f t="shared" si="13"/>
        <v>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49760.159999999967</v>
      </c>
      <c r="C53" s="63"/>
      <c r="D53" s="77">
        <f>D33+D43+D51</f>
        <v>3491.0259999999689</v>
      </c>
      <c r="E53" s="77">
        <f>E33+E43+E51</f>
        <v>26212.590999999968</v>
      </c>
      <c r="F53" s="77">
        <f t="shared" ref="F53:M53" si="14">F33+F43+F51</f>
        <v>5535.1089999999958</v>
      </c>
      <c r="G53" s="77">
        <f t="shared" si="14"/>
        <v>0</v>
      </c>
      <c r="H53" s="77">
        <f t="shared" si="14"/>
        <v>-435.93500000000006</v>
      </c>
      <c r="I53" s="77">
        <f t="shared" si="14"/>
        <v>1.000000000000778E-3</v>
      </c>
      <c r="J53" s="77">
        <f t="shared" si="14"/>
        <v>-1076.981</v>
      </c>
      <c r="K53" s="77">
        <f t="shared" si="14"/>
        <v>-69.011000000000081</v>
      </c>
      <c r="L53" s="77">
        <f t="shared" si="14"/>
        <v>21.266000000000002</v>
      </c>
      <c r="M53" s="77">
        <f t="shared" si="14"/>
        <v>-16745</v>
      </c>
      <c r="N53" s="77">
        <f>M53+L53</f>
        <v>-16723.734</v>
      </c>
      <c r="O53" s="77">
        <f>O33+O43+O51</f>
        <v>-9892.0139999999992</v>
      </c>
      <c r="P53" s="77">
        <f>P33+P43+P51</f>
        <v>-59</v>
      </c>
      <c r="R53" s="77">
        <f>R33+R43+R51</f>
        <v>46269.133999999998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289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FebYTD!P55-'JAN2000'!P55</f>
        <v>40</v>
      </c>
      <c r="R55" s="55">
        <f>[5]FEB_MO!$H$56</f>
        <v>249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B53-B55</f>
        <v>49471.159999999967</v>
      </c>
      <c r="C57" s="63"/>
      <c r="D57" s="81">
        <f t="shared" ref="D57:M57" si="15">D53-D55</f>
        <v>3451.0259999999689</v>
      </c>
      <c r="E57" s="81">
        <f t="shared" si="15"/>
        <v>26212.590999999968</v>
      </c>
      <c r="F57" s="81">
        <f t="shared" si="15"/>
        <v>5535.1089999999958</v>
      </c>
      <c r="G57" s="81">
        <f t="shared" si="15"/>
        <v>0</v>
      </c>
      <c r="H57" s="81">
        <f t="shared" si="15"/>
        <v>-435.93500000000006</v>
      </c>
      <c r="I57" s="81">
        <f t="shared" si="15"/>
        <v>1.000000000000778E-3</v>
      </c>
      <c r="J57" s="81">
        <f t="shared" si="15"/>
        <v>-1076.981</v>
      </c>
      <c r="K57" s="81">
        <f t="shared" si="15"/>
        <v>-69.011000000000081</v>
      </c>
      <c r="L57" s="81">
        <f t="shared" si="15"/>
        <v>21.266000000000002</v>
      </c>
      <c r="M57" s="81">
        <f t="shared" si="15"/>
        <v>-16745</v>
      </c>
      <c r="N57" s="81">
        <f>M57+L57</f>
        <v>-16723.734</v>
      </c>
      <c r="O57" s="81">
        <f>O53-P55</f>
        <v>-9932.0139999999992</v>
      </c>
      <c r="P57" s="81">
        <f>P53-P55</f>
        <v>-99</v>
      </c>
      <c r="R57" s="81">
        <f>R53-R55</f>
        <v>46020.133999999998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-5</v>
      </c>
      <c r="C59" s="46"/>
      <c r="D59" s="70">
        <f>SUM(E59:P59)</f>
        <v>-5</v>
      </c>
      <c r="E59" s="70">
        <f>FebYTD!E59-'JAN2000'!E59</f>
        <v>-6</v>
      </c>
      <c r="F59" s="70">
        <f>FebYTD!F59-'JAN2000'!F59</f>
        <v>0</v>
      </c>
      <c r="G59" s="70">
        <f>FebYTD!G59-'JAN2000'!G59</f>
        <v>0</v>
      </c>
      <c r="H59" s="70">
        <f>FebYTD!H59-'JAN2000'!H59</f>
        <v>0</v>
      </c>
      <c r="I59" s="70">
        <f>FebYTD!I59-'JAN2000'!I59</f>
        <v>14</v>
      </c>
      <c r="J59" s="70">
        <f>FebYTD!J59-'JAN2000'!J59</f>
        <v>-191</v>
      </c>
      <c r="K59" s="70">
        <f>FebYTD!K59-'JAN2000'!K59</f>
        <v>178</v>
      </c>
      <c r="L59" s="70">
        <f>FebYTD!L59-'JAN2000'!L59</f>
        <v>0</v>
      </c>
      <c r="M59" s="70">
        <f>FebYTD!M59-'JAN2000'!M59</f>
        <v>0</v>
      </c>
      <c r="N59" s="80"/>
      <c r="O59" s="70">
        <f>FebYTD!O59-'JAN2000'!O59</f>
        <v>0</v>
      </c>
      <c r="P59" s="70">
        <f>FebYTD!P59-'JAN2000'!P59</f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49466.159999999967</v>
      </c>
      <c r="C61" s="46"/>
      <c r="D61" s="81">
        <f>D57+D59</f>
        <v>3446.0259999999689</v>
      </c>
      <c r="E61" s="81">
        <f>E57+E59</f>
        <v>26206.590999999968</v>
      </c>
      <c r="F61" s="81">
        <f t="shared" ref="F61:M61" si="16">F57+F59</f>
        <v>5535.1089999999958</v>
      </c>
      <c r="G61" s="81">
        <f t="shared" si="16"/>
        <v>0</v>
      </c>
      <c r="H61" s="81">
        <f t="shared" si="16"/>
        <v>-435.93500000000006</v>
      </c>
      <c r="I61" s="81">
        <f t="shared" si="16"/>
        <v>14.001000000000001</v>
      </c>
      <c r="J61" s="81">
        <f t="shared" si="16"/>
        <v>-1267.981</v>
      </c>
      <c r="K61" s="81">
        <f t="shared" si="16"/>
        <v>108.98899999999992</v>
      </c>
      <c r="L61" s="81">
        <f t="shared" si="16"/>
        <v>21.266000000000002</v>
      </c>
      <c r="M61" s="81">
        <f t="shared" si="16"/>
        <v>-16745</v>
      </c>
      <c r="N61" s="81">
        <f>M61+L61</f>
        <v>-16723.734</v>
      </c>
      <c r="O61" s="81">
        <f>O57+O59</f>
        <v>-9932.0139999999992</v>
      </c>
      <c r="P61" s="81">
        <f>P57+P59</f>
        <v>-99</v>
      </c>
      <c r="R61" s="81">
        <f>R57+R59</f>
        <v>46020.133999999998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-244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pageMargins left="0.5" right="0.5" top="0.5" bottom="0.5" header="0.5" footer="0.5"/>
  <pageSetup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1"/>
  <dimension ref="A1:R64"/>
  <sheetViews>
    <sheetView showZeros="0" showOutlineSymbols="0" topLeftCell="B34" workbookViewId="0">
      <selection activeCell="P34" sqref="P34"/>
    </sheetView>
  </sheetViews>
  <sheetFormatPr defaultColWidth="9" defaultRowHeight="12.75" customHeight="1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99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31837.036000000011</v>
      </c>
      <c r="C8" s="63"/>
      <c r="D8" s="68">
        <f>SUM(E8:M8)+O8+P8</f>
        <v>31430.718000000012</v>
      </c>
      <c r="E8" s="68">
        <f>'[3]01YTD'!J$65</f>
        <v>21637.741000000009</v>
      </c>
      <c r="F8" s="68">
        <f>'[3]01YTD'!K$65</f>
        <v>5247.5100000000011</v>
      </c>
      <c r="G8" s="68">
        <f>'[3]01YTD'!L$65</f>
        <v>2532.3809999999999</v>
      </c>
      <c r="H8" s="68">
        <f>'[3]01YTD'!M$65</f>
        <v>439.35900000000004</v>
      </c>
      <c r="I8" s="68">
        <f>'[3]01YTD'!N$65</f>
        <v>0</v>
      </c>
      <c r="J8" s="68">
        <f>'[3]01YTD'!O$65</f>
        <v>177.44399999999996</v>
      </c>
      <c r="K8" s="68">
        <f>'[3]01YTD'!P$65</f>
        <v>21.728999999999999</v>
      </c>
      <c r="L8" s="68">
        <f>'[3]01YTD'!Q$65</f>
        <v>-0.19900000000000001</v>
      </c>
      <c r="M8" s="68">
        <f>'[3]01YTD'!R$65</f>
        <v>0</v>
      </c>
      <c r="N8" s="68">
        <f>'[3]01YTD'!S$65</f>
        <v>0</v>
      </c>
      <c r="O8" s="68">
        <f>'[3]01YTD'!U$65</f>
        <v>1374.7529999999999</v>
      </c>
      <c r="P8" s="68">
        <f>'[3]01YTD'!V$65</f>
        <v>0</v>
      </c>
      <c r="R8" s="48">
        <f>[2]JAN_YTD!$H$8</f>
        <v>406.31800000000004</v>
      </c>
    </row>
    <row r="9" spans="1:18" ht="12.75" customHeight="1" outlineLevel="4" x14ac:dyDescent="0.2">
      <c r="A9" s="62" t="s">
        <v>29</v>
      </c>
      <c r="B9" s="69">
        <f>D9+R9</f>
        <v>2480.1729999999998</v>
      </c>
      <c r="C9" s="63"/>
      <c r="D9" s="70">
        <f>SUM(E9:M9)+O9+P9</f>
        <v>2480.1729999999998</v>
      </c>
      <c r="E9" s="70">
        <f>'[3]01YTD'!J$72*-1</f>
        <v>-1208.723</v>
      </c>
      <c r="F9" s="70">
        <f>'[3]01YTD'!K$72*-1</f>
        <v>150.65900000000005</v>
      </c>
      <c r="G9" s="70">
        <f>'[3]01YTD'!L$72*-1</f>
        <v>0</v>
      </c>
      <c r="H9" s="70">
        <f>'[3]01YTD'!M$72*-1</f>
        <v>292.65699999999998</v>
      </c>
      <c r="I9" s="70">
        <f>'[3]01YTD'!N$72*-1</f>
        <v>0</v>
      </c>
      <c r="J9" s="70">
        <f>'[3]01YTD'!O$72*-1</f>
        <v>27.116999999999997</v>
      </c>
      <c r="K9" s="70">
        <f>'[3]01YTD'!P$72*-1</f>
        <v>0</v>
      </c>
      <c r="L9" s="70">
        <f>'[3]01YTD'!Q$72*-1</f>
        <v>0</v>
      </c>
      <c r="M9" s="70">
        <f>'[3]01YTD'!R$72*-1</f>
        <v>0</v>
      </c>
      <c r="N9" s="70">
        <f>'[3]01YTD'!S$72*-1</f>
        <v>0</v>
      </c>
      <c r="O9" s="70">
        <f>'[3]01YTD'!U$72*-1</f>
        <v>3218.4629999999997</v>
      </c>
      <c r="P9" s="70">
        <f>'[3]01YTD'!V$72*-1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34317.20900000001</v>
      </c>
      <c r="C10" s="63"/>
      <c r="D10" s="71">
        <f>D8+D9</f>
        <v>33910.891000000011</v>
      </c>
      <c r="E10" s="71">
        <f>E8+E9</f>
        <v>20429.018000000011</v>
      </c>
      <c r="F10" s="71">
        <f t="shared" ref="F10:R10" si="0">F8+F9</f>
        <v>5398.1690000000008</v>
      </c>
      <c r="G10" s="71">
        <f t="shared" si="0"/>
        <v>2532.3809999999999</v>
      </c>
      <c r="H10" s="71">
        <f t="shared" si="0"/>
        <v>732.01600000000008</v>
      </c>
      <c r="I10" s="71">
        <f t="shared" si="0"/>
        <v>0</v>
      </c>
      <c r="J10" s="71">
        <f t="shared" si="0"/>
        <v>204.56099999999995</v>
      </c>
      <c r="K10" s="71">
        <f t="shared" si="0"/>
        <v>21.728999999999999</v>
      </c>
      <c r="L10" s="71">
        <f t="shared" si="0"/>
        <v>-0.19900000000000001</v>
      </c>
      <c r="M10" s="71">
        <f t="shared" si="0"/>
        <v>0</v>
      </c>
      <c r="N10" s="71">
        <f>N8</f>
        <v>0</v>
      </c>
      <c r="O10" s="71">
        <f t="shared" si="0"/>
        <v>4593.2159999999994</v>
      </c>
      <c r="P10" s="71">
        <f t="shared" si="0"/>
        <v>0</v>
      </c>
      <c r="R10" s="71">
        <f t="shared" si="0"/>
        <v>406.31800000000004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5415.8709999999992</v>
      </c>
      <c r="C12" s="63"/>
      <c r="D12" s="68">
        <f t="shared" ref="D12:D18" si="1">SUM(E12:M12)+O12+P12</f>
        <v>5415.8709999999992</v>
      </c>
      <c r="E12" s="68">
        <f>'[3]01YTD'!J$36</f>
        <v>3812.6939999999995</v>
      </c>
      <c r="F12" s="68">
        <f>'[3]01YTD'!K$36</f>
        <v>1603.1770000000001</v>
      </c>
      <c r="G12" s="68">
        <f>'[3]01YTD'!L$36</f>
        <v>0</v>
      </c>
      <c r="H12" s="68">
        <f>'[3]01YTD'!M$36</f>
        <v>0</v>
      </c>
      <c r="I12" s="68">
        <f>'[3]01YTD'!N$36</f>
        <v>0</v>
      </c>
      <c r="J12" s="68">
        <f>'[3]01YTD'!O$36</f>
        <v>0</v>
      </c>
      <c r="K12" s="68">
        <f>'[3]01YTD'!P$36</f>
        <v>0</v>
      </c>
      <c r="L12" s="68">
        <f>'[3]01YTD'!Q$36</f>
        <v>0</v>
      </c>
      <c r="M12" s="68">
        <f>'[3]01YTD'!R$36</f>
        <v>0</v>
      </c>
      <c r="N12" s="68">
        <f>'[3]01YTD'!S$36</f>
        <v>0</v>
      </c>
      <c r="O12" s="68">
        <f>'[3]01YTD'!T$36</f>
        <v>0</v>
      </c>
      <c r="P12" s="68">
        <f>'[3]01YTD'!U$36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1953.9260000000004</v>
      </c>
      <c r="C13" s="63"/>
      <c r="D13" s="68">
        <f t="shared" si="1"/>
        <v>1948.8630000000003</v>
      </c>
      <c r="E13" s="68">
        <f>'[3]01YTD'!J$62</f>
        <v>1670.9370000000001</v>
      </c>
      <c r="F13" s="68">
        <f>'[3]01YTD'!K$62</f>
        <v>238.41899999999998</v>
      </c>
      <c r="G13" s="68">
        <f>'[3]01YTD'!L$62</f>
        <v>0</v>
      </c>
      <c r="H13" s="68">
        <f>'[3]01YTD'!M$62</f>
        <v>39.507000000000005</v>
      </c>
      <c r="I13" s="68">
        <f>'[3]01YTD'!N$62</f>
        <v>0</v>
      </c>
      <c r="J13" s="68">
        <f>'[3]01YTD'!O$62</f>
        <v>0</v>
      </c>
      <c r="K13" s="68">
        <f>'[3]01YTD'!P$62</f>
        <v>0</v>
      </c>
      <c r="L13" s="68">
        <f>'[3]01YTD'!Q$62</f>
        <v>0</v>
      </c>
      <c r="M13" s="68">
        <f>'[3]01YTD'!R$62</f>
        <v>0</v>
      </c>
      <c r="N13" s="68">
        <f>'[3]01YTD'!S$62</f>
        <v>0</v>
      </c>
      <c r="O13" s="68">
        <f>'[3]01YTD'!U$62</f>
        <v>0</v>
      </c>
      <c r="P13" s="68">
        <f>'[3]01YTD'!U$62</f>
        <v>0</v>
      </c>
      <c r="R13" s="48">
        <f>[2]JAN_YTD!$H$13</f>
        <v>5.0629999999999997</v>
      </c>
    </row>
    <row r="14" spans="1:18" ht="12.75" customHeight="1" outlineLevel="4" x14ac:dyDescent="0.2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>
        <f>'[3]01YTD'!T$46*-1</f>
        <v>0</v>
      </c>
      <c r="P14" s="68">
        <f>'[3]01YTD'!U$46*-1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">
      <c r="A16" s="67" t="s">
        <v>38</v>
      </c>
      <c r="B16" s="63">
        <f t="shared" si="2"/>
        <v>-3953.9299999999994</v>
      </c>
      <c r="C16" s="63"/>
      <c r="D16" s="68">
        <f t="shared" si="1"/>
        <v>-3329.1899999999996</v>
      </c>
      <c r="E16" s="68">
        <f>'[3]01YTD'!J$43*-1</f>
        <v>-248.172</v>
      </c>
      <c r="F16" s="68">
        <f>'[3]01YTD'!K$43*-1</f>
        <v>0</v>
      </c>
      <c r="G16" s="68">
        <f>'[3]01YTD'!L$43*-1</f>
        <v>-2532.3809999999999</v>
      </c>
      <c r="H16" s="68">
        <f>'[3]01YTD'!M$43*-1</f>
        <v>-548.63699999999994</v>
      </c>
      <c r="I16" s="68">
        <f>'[3]01YTD'!N$43*-1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'[3]01YTD'!S$43*-1</f>
        <v>0</v>
      </c>
      <c r="O16" s="68">
        <f>'[3]01YTD'!T$43*-1</f>
        <v>0</v>
      </c>
      <c r="P16" s="68">
        <f>'[3]01YTD'!U$43*-1</f>
        <v>0</v>
      </c>
      <c r="R16" s="48">
        <f>[2]JAN_YTD!$H$19</f>
        <v>-624.74</v>
      </c>
    </row>
    <row r="17" spans="1:18" ht="12.75" customHeight="1" outlineLevel="4" x14ac:dyDescent="0.2">
      <c r="A17" s="67" t="s">
        <v>39</v>
      </c>
      <c r="B17" s="63">
        <f t="shared" si="2"/>
        <v>0</v>
      </c>
      <c r="C17" s="63"/>
      <c r="D17" s="68">
        <f t="shared" si="1"/>
        <v>0</v>
      </c>
      <c r="E17" s="72"/>
      <c r="F17" s="72"/>
      <c r="G17" s="72"/>
      <c r="H17" s="72"/>
      <c r="I17" s="72"/>
      <c r="J17" s="72"/>
      <c r="K17" s="72"/>
      <c r="L17" s="72"/>
      <c r="M17" s="72"/>
      <c r="N17" s="68">
        <f>M17+L17</f>
        <v>0</v>
      </c>
      <c r="O17" s="72"/>
      <c r="P17" s="72"/>
    </row>
    <row r="18" spans="1:18" ht="12.75" customHeight="1" outlineLevel="4" x14ac:dyDescent="0.2">
      <c r="A18" s="67" t="s">
        <v>32</v>
      </c>
      <c r="B18" s="69">
        <f t="shared" si="2"/>
        <v>-18557</v>
      </c>
      <c r="C18" s="63"/>
      <c r="D18" s="68">
        <f t="shared" si="1"/>
        <v>-18557</v>
      </c>
      <c r="E18" s="70">
        <f>-673-30</f>
        <v>-703</v>
      </c>
      <c r="F18" s="70">
        <f>107+442-514</f>
        <v>35</v>
      </c>
      <c r="G18" s="70">
        <v>0</v>
      </c>
      <c r="H18" s="70"/>
      <c r="I18" s="70"/>
      <c r="J18" s="70">
        <v>5</v>
      </c>
      <c r="K18" s="70">
        <v>56</v>
      </c>
      <c r="L18" s="70">
        <v>-75</v>
      </c>
      <c r="M18" s="70">
        <v>-16745</v>
      </c>
      <c r="N18" s="68">
        <f>M18+L18</f>
        <v>-16820</v>
      </c>
      <c r="O18" s="70">
        <v>-1117</v>
      </c>
      <c r="P18" s="70">
        <v>-13</v>
      </c>
      <c r="R18" s="55"/>
    </row>
    <row r="19" spans="1:18" ht="12.75" customHeight="1" outlineLevel="4" x14ac:dyDescent="0.2">
      <c r="A19" s="62" t="s">
        <v>31</v>
      </c>
      <c r="B19" s="73">
        <f>SUM(B10:B18)</f>
        <v>19284.891000000011</v>
      </c>
      <c r="C19" s="63"/>
      <c r="D19" s="73">
        <f>SUM(D10:D18)</f>
        <v>19498.250000000007</v>
      </c>
      <c r="E19" s="73">
        <f>SUM(E10:E18)</f>
        <v>25070.289000000015</v>
      </c>
      <c r="F19" s="73">
        <f t="shared" ref="F19:R19" si="3">SUM(F10:F18)</f>
        <v>7274.7680000000009</v>
      </c>
      <c r="G19" s="73">
        <f t="shared" si="3"/>
        <v>0</v>
      </c>
      <c r="H19" s="73">
        <f t="shared" si="3"/>
        <v>222.88600000000019</v>
      </c>
      <c r="I19" s="73">
        <f t="shared" si="3"/>
        <v>0</v>
      </c>
      <c r="J19" s="73">
        <f t="shared" si="3"/>
        <v>209.56099999999995</v>
      </c>
      <c r="K19" s="73">
        <f t="shared" si="3"/>
        <v>77.728999999999999</v>
      </c>
      <c r="L19" s="73">
        <f t="shared" si="3"/>
        <v>-75.198999999999998</v>
      </c>
      <c r="M19" s="73">
        <f t="shared" si="3"/>
        <v>-16745</v>
      </c>
      <c r="N19" s="73">
        <f t="shared" si="3"/>
        <v>-16820</v>
      </c>
      <c r="O19" s="73">
        <f t="shared" si="3"/>
        <v>3476.2159999999994</v>
      </c>
      <c r="P19" s="73">
        <f t="shared" si="3"/>
        <v>-13</v>
      </c>
      <c r="R19" s="73">
        <f t="shared" si="3"/>
        <v>-213.35899999999998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4">D22+R22</f>
        <v>-1872</v>
      </c>
      <c r="C22" s="63"/>
      <c r="D22" s="68">
        <f t="shared" ref="D22:D30" si="5">SUM(E22:M22)+O22+P22</f>
        <v>-5195</v>
      </c>
      <c r="E22" s="68">
        <v>-3903</v>
      </c>
      <c r="F22" s="68">
        <v>-48</v>
      </c>
      <c r="G22" s="68"/>
      <c r="H22" s="68">
        <v>-20</v>
      </c>
      <c r="I22" s="68">
        <v>2</v>
      </c>
      <c r="J22" s="68">
        <v>-227</v>
      </c>
      <c r="K22" s="68">
        <v>52</v>
      </c>
      <c r="L22" s="68">
        <v>8</v>
      </c>
      <c r="M22" s="68"/>
      <c r="N22" s="68"/>
      <c r="O22" s="68">
        <v>-1021</v>
      </c>
      <c r="P22" s="68">
        <v>-38</v>
      </c>
      <c r="R22" s="48">
        <f>[2]JAN_YTD!$H$24</f>
        <v>3323</v>
      </c>
    </row>
    <row r="23" spans="1:18" ht="12.75" customHeight="1" outlineLevel="4" x14ac:dyDescent="0.2">
      <c r="A23" s="67" t="s">
        <v>20</v>
      </c>
      <c r="B23" s="63">
        <f t="shared" si="4"/>
        <v>1535</v>
      </c>
      <c r="C23" s="63"/>
      <c r="D23" s="68">
        <f t="shared" si="5"/>
        <v>1535</v>
      </c>
      <c r="E23" s="68">
        <v>2513</v>
      </c>
      <c r="F23" s="68">
        <v>647</v>
      </c>
      <c r="G23" s="68"/>
      <c r="H23" s="68"/>
      <c r="I23" s="68">
        <v>-2</v>
      </c>
      <c r="J23" s="68">
        <v>2686</v>
      </c>
      <c r="K23" s="68">
        <v>-192</v>
      </c>
      <c r="L23" s="68">
        <v>67</v>
      </c>
      <c r="M23" s="68">
        <v>-17</v>
      </c>
      <c r="N23" s="68">
        <f t="shared" ref="N23:N30" si="6">M23+L23</f>
        <v>50</v>
      </c>
      <c r="O23" s="68">
        <v>-4208</v>
      </c>
      <c r="P23" s="68">
        <v>41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4"/>
        <v>4</v>
      </c>
      <c r="C24" s="63"/>
      <c r="D24" s="68">
        <f t="shared" si="5"/>
        <v>4</v>
      </c>
      <c r="E24" s="68">
        <v>2</v>
      </c>
      <c r="F24" s="68">
        <v>2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4"/>
        <v>-1123</v>
      </c>
      <c r="C25" s="63"/>
      <c r="D25" s="68">
        <f t="shared" si="5"/>
        <v>-1123</v>
      </c>
      <c r="E25" s="68">
        <v>-983</v>
      </c>
      <c r="F25" s="68">
        <v>-140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4"/>
        <v>-11537</v>
      </c>
      <c r="C26" s="63"/>
      <c r="D26" s="68">
        <f t="shared" si="5"/>
        <v>-11537</v>
      </c>
      <c r="E26" s="68">
        <v>-8794</v>
      </c>
      <c r="F26" s="68">
        <v>-1400</v>
      </c>
      <c r="G26" s="68"/>
      <c r="H26" s="68">
        <v>-128</v>
      </c>
      <c r="I26" s="68"/>
      <c r="J26" s="68">
        <v>-504</v>
      </c>
      <c r="K26" s="68">
        <v>-3</v>
      </c>
      <c r="L26" s="68"/>
      <c r="M26" s="68"/>
      <c r="N26" s="68">
        <f t="shared" si="6"/>
        <v>0</v>
      </c>
      <c r="O26" s="68">
        <v>-659</v>
      </c>
      <c r="P26" s="68">
        <v>-49</v>
      </c>
      <c r="R26" s="48">
        <f>[2]JAN_YTD!$H$29</f>
        <v>0</v>
      </c>
    </row>
    <row r="27" spans="1:18" ht="12.75" customHeight="1" outlineLevel="4" x14ac:dyDescent="0.2">
      <c r="A27" s="62" t="s">
        <v>12</v>
      </c>
      <c r="B27" s="63">
        <f t="shared" si="4"/>
        <v>3407</v>
      </c>
      <c r="C27" s="63"/>
      <c r="D27" s="68">
        <f t="shared" si="5"/>
        <v>3407</v>
      </c>
      <c r="E27" s="68">
        <v>3491</v>
      </c>
      <c r="F27" s="68">
        <v>-84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4"/>
        <v>1210</v>
      </c>
      <c r="C28" s="63"/>
      <c r="D28" s="68">
        <f t="shared" si="5"/>
        <v>1173</v>
      </c>
      <c r="E28" s="68">
        <v>926</v>
      </c>
      <c r="F28" s="68">
        <v>234</v>
      </c>
      <c r="G28" s="68"/>
      <c r="H28" s="68"/>
      <c r="I28" s="68"/>
      <c r="J28" s="68">
        <v>-2</v>
      </c>
      <c r="K28" s="68">
        <v>-2</v>
      </c>
      <c r="L28" s="68"/>
      <c r="M28" s="68">
        <v>17</v>
      </c>
      <c r="N28" s="68">
        <f t="shared" si="6"/>
        <v>17</v>
      </c>
      <c r="O28" s="68">
        <v>0</v>
      </c>
      <c r="P28" s="68"/>
      <c r="R28" s="48">
        <f>[2]JAN_YTD!$H$31</f>
        <v>37</v>
      </c>
    </row>
    <row r="29" spans="1:18" ht="12.75" customHeight="1" outlineLevel="4" x14ac:dyDescent="0.2">
      <c r="A29" s="67" t="s">
        <v>14</v>
      </c>
      <c r="B29" s="63">
        <f t="shared" si="4"/>
        <v>-263</v>
      </c>
      <c r="C29" s="63"/>
      <c r="D29" s="68">
        <f t="shared" si="5"/>
        <v>-263</v>
      </c>
      <c r="E29" s="72">
        <v>2875</v>
      </c>
      <c r="F29" s="72">
        <v>-3138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4"/>
        <v>-436</v>
      </c>
      <c r="C30" s="63"/>
      <c r="D30" s="68">
        <f t="shared" si="5"/>
        <v>-436</v>
      </c>
      <c r="E30" s="70">
        <v>-1238</v>
      </c>
      <c r="F30" s="70">
        <v>195</v>
      </c>
      <c r="G30" s="70"/>
      <c r="H30" s="70">
        <v>448</v>
      </c>
      <c r="I30" s="70"/>
      <c r="J30" s="70"/>
      <c r="K30" s="70"/>
      <c r="L30" s="70"/>
      <c r="M30" s="70"/>
      <c r="N30" s="70">
        <f t="shared" si="6"/>
        <v>0</v>
      </c>
      <c r="O30" s="70">
        <v>159</v>
      </c>
      <c r="P30" s="70"/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-9075</v>
      </c>
      <c r="C31" s="74"/>
      <c r="D31" s="84">
        <f>SUM(D21:D30)</f>
        <v>-12435</v>
      </c>
      <c r="E31" s="84">
        <f>SUM(E21:E30)</f>
        <v>-5111</v>
      </c>
      <c r="F31" s="84">
        <f t="shared" ref="F31:R31" si="7">SUM(F21:F30)</f>
        <v>-3732</v>
      </c>
      <c r="G31" s="84">
        <f t="shared" si="7"/>
        <v>0</v>
      </c>
      <c r="H31" s="84">
        <f t="shared" si="7"/>
        <v>300</v>
      </c>
      <c r="I31" s="84">
        <f t="shared" si="7"/>
        <v>0</v>
      </c>
      <c r="J31" s="84">
        <f t="shared" si="7"/>
        <v>1953</v>
      </c>
      <c r="K31" s="84">
        <f t="shared" si="7"/>
        <v>-145</v>
      </c>
      <c r="L31" s="84">
        <f t="shared" si="7"/>
        <v>75</v>
      </c>
      <c r="M31" s="84">
        <f t="shared" si="7"/>
        <v>0</v>
      </c>
      <c r="N31" s="84">
        <f t="shared" si="7"/>
        <v>67</v>
      </c>
      <c r="O31" s="84">
        <f t="shared" si="7"/>
        <v>-5729</v>
      </c>
      <c r="P31" s="84">
        <f t="shared" si="7"/>
        <v>-46</v>
      </c>
      <c r="R31" s="84">
        <f t="shared" si="7"/>
        <v>3360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10209.891000000011</v>
      </c>
      <c r="C33" s="63"/>
      <c r="D33" s="75">
        <f t="shared" ref="D33:P33" si="8">D19+D31</f>
        <v>7063.2500000000073</v>
      </c>
      <c r="E33" s="75">
        <f t="shared" si="8"/>
        <v>19959.289000000015</v>
      </c>
      <c r="F33" s="75">
        <f t="shared" si="8"/>
        <v>3542.7680000000009</v>
      </c>
      <c r="G33" s="75">
        <f t="shared" si="8"/>
        <v>0</v>
      </c>
      <c r="H33" s="75">
        <f t="shared" si="8"/>
        <v>522.88600000000019</v>
      </c>
      <c r="I33" s="75">
        <f t="shared" si="8"/>
        <v>0</v>
      </c>
      <c r="J33" s="75">
        <f t="shared" si="8"/>
        <v>2162.5610000000001</v>
      </c>
      <c r="K33" s="75">
        <f t="shared" si="8"/>
        <v>-67.271000000000001</v>
      </c>
      <c r="L33" s="75">
        <f t="shared" si="8"/>
        <v>-0.19899999999999807</v>
      </c>
      <c r="M33" s="75">
        <f t="shared" si="8"/>
        <v>-16745</v>
      </c>
      <c r="N33" s="75">
        <f t="shared" si="8"/>
        <v>-16753</v>
      </c>
      <c r="O33" s="75">
        <f t="shared" si="8"/>
        <v>-2252.7840000000006</v>
      </c>
      <c r="P33" s="75">
        <f t="shared" si="8"/>
        <v>-59</v>
      </c>
      <c r="R33" s="75">
        <f>R19+R31</f>
        <v>3146.6410000000001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9">D36+R36</f>
        <v>1828</v>
      </c>
      <c r="C36" s="63"/>
      <c r="D36" s="68">
        <f>SUM(E36:M36)+O36+P36</f>
        <v>1828</v>
      </c>
      <c r="E36" s="76">
        <v>1828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">
      <c r="A37" s="62" t="s">
        <v>17</v>
      </c>
      <c r="B37" s="63">
        <f t="shared" si="9"/>
        <v>-998</v>
      </c>
      <c r="C37" s="63"/>
      <c r="D37" s="68">
        <f>SUM(E37:M37)+O37+P37</f>
        <v>-998</v>
      </c>
      <c r="E37" s="76">
        <v>-651</v>
      </c>
      <c r="F37" s="76">
        <v>-347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">
      <c r="A38" s="62" t="s">
        <v>104</v>
      </c>
      <c r="B38" s="63">
        <f t="shared" si="9"/>
        <v>-359</v>
      </c>
      <c r="C38" s="63"/>
      <c r="D38" s="68">
        <f>SUM(E38:M38)+O38+P38</f>
        <v>-359</v>
      </c>
      <c r="E38" s="76">
        <f>-18-226</f>
        <v>-244</v>
      </c>
      <c r="F38" s="76">
        <f>-193+78</f>
        <v>-115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">
      <c r="A39" s="62" t="s">
        <v>105</v>
      </c>
      <c r="B39" s="63">
        <f t="shared" si="9"/>
        <v>-43400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[2]JAN_YTD!$J$42</f>
        <v>-43400</v>
      </c>
    </row>
    <row r="40" spans="1:18" ht="12.75" customHeight="1" outlineLevel="4" x14ac:dyDescent="0.2">
      <c r="A40" s="62" t="s">
        <v>106</v>
      </c>
      <c r="B40" s="63">
        <f t="shared" si="9"/>
        <v>-77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[2]JAN_YTD!$J$43</f>
        <v>-77</v>
      </c>
    </row>
    <row r="41" spans="1:18" ht="12.75" customHeight="1" outlineLevel="4" x14ac:dyDescent="0.2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">
      <c r="A43" s="62" t="s">
        <v>18</v>
      </c>
      <c r="B43" s="75">
        <f>SUM(B36:B42)</f>
        <v>-44867</v>
      </c>
      <c r="C43" s="77">
        <f>SUM(C36:C42)</f>
        <v>0</v>
      </c>
      <c r="D43" s="75">
        <f>SUM(D36:D42)</f>
        <v>-1390</v>
      </c>
      <c r="E43" s="75">
        <f>SUM(E36:E42)</f>
        <v>-928</v>
      </c>
      <c r="F43" s="75">
        <f t="shared" ref="F43:P43" si="10">SUM(F36:F42)</f>
        <v>-462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-43477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">
      <c r="A47" s="67" t="s">
        <v>45</v>
      </c>
      <c r="B47" s="63">
        <f>D47+R47</f>
        <v>-99993</v>
      </c>
      <c r="C47" s="63"/>
      <c r="D47" s="68">
        <f>SUM(E47:M47)+O47+P47</f>
        <v>-99993</v>
      </c>
      <c r="E47" s="68">
        <v>7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">
      <c r="A50" s="67" t="s">
        <v>47</v>
      </c>
      <c r="B50" s="63">
        <f>D50+R50</f>
        <v>-3186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>
        <f>[2]JAN_YTD!$H$53</f>
        <v>-3186</v>
      </c>
    </row>
    <row r="51" spans="1:18" ht="12.75" customHeight="1" outlineLevel="3" x14ac:dyDescent="0.2">
      <c r="A51" s="62" t="s">
        <v>19</v>
      </c>
      <c r="B51" s="79">
        <f>SUM(B46:B50)</f>
        <v>-103179</v>
      </c>
      <c r="C51" s="63"/>
      <c r="D51" s="79">
        <f>SUM(D46:D50)</f>
        <v>-99993</v>
      </c>
      <c r="E51" s="79">
        <f>SUM(E46:E50)</f>
        <v>7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-3186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-137836.109</v>
      </c>
      <c r="C53" s="63"/>
      <c r="D53" s="77">
        <f t="shared" ref="D53:M53" si="12">D33+D43+D51</f>
        <v>-94319.75</v>
      </c>
      <c r="E53" s="77">
        <f t="shared" si="12"/>
        <v>19038.289000000015</v>
      </c>
      <c r="F53" s="77">
        <f t="shared" si="12"/>
        <v>-96919.232000000004</v>
      </c>
      <c r="G53" s="77">
        <f t="shared" si="12"/>
        <v>0</v>
      </c>
      <c r="H53" s="77">
        <f t="shared" si="12"/>
        <v>522.88600000000019</v>
      </c>
      <c r="I53" s="77">
        <f t="shared" si="12"/>
        <v>0</v>
      </c>
      <c r="J53" s="77">
        <f t="shared" si="12"/>
        <v>2162.5610000000001</v>
      </c>
      <c r="K53" s="77">
        <f t="shared" si="12"/>
        <v>-67.271000000000001</v>
      </c>
      <c r="L53" s="77">
        <f t="shared" si="12"/>
        <v>-0.19899999999999807</v>
      </c>
      <c r="M53" s="77">
        <f t="shared" si="12"/>
        <v>-16745</v>
      </c>
      <c r="N53" s="77">
        <f>M53+L53</f>
        <v>-16745.199000000001</v>
      </c>
      <c r="O53" s="77">
        <f>O33+O43+O51</f>
        <v>-2252.7840000000006</v>
      </c>
      <c r="P53" s="77">
        <f>P33+P43+P51</f>
        <v>-59</v>
      </c>
      <c r="R53" s="77">
        <f>R33+R43+R51</f>
        <v>-43516.358999999997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/>
      <c r="C55" s="63"/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0</v>
      </c>
      <c r="R55" s="55"/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B53-B55</f>
        <v>-137836.109</v>
      </c>
      <c r="C57" s="63"/>
      <c r="D57" s="81">
        <f>D53-D55</f>
        <v>-94319.75</v>
      </c>
      <c r="E57" s="81">
        <f>E53-E55</f>
        <v>19038.289000000015</v>
      </c>
      <c r="F57" s="81">
        <f t="shared" ref="F57:R57" si="13">F53-F55</f>
        <v>-96919.232000000004</v>
      </c>
      <c r="G57" s="81">
        <f t="shared" si="13"/>
        <v>0</v>
      </c>
      <c r="H57" s="81">
        <f t="shared" si="13"/>
        <v>522.88600000000019</v>
      </c>
      <c r="I57" s="81">
        <f t="shared" si="13"/>
        <v>0</v>
      </c>
      <c r="J57" s="81">
        <f t="shared" si="13"/>
        <v>2162.5610000000001</v>
      </c>
      <c r="K57" s="81">
        <f t="shared" si="13"/>
        <v>-67.271000000000001</v>
      </c>
      <c r="L57" s="81">
        <f t="shared" si="13"/>
        <v>-0.19899999999999807</v>
      </c>
      <c r="M57" s="81">
        <f t="shared" si="13"/>
        <v>-16745</v>
      </c>
      <c r="N57" s="81">
        <f>M57+L57</f>
        <v>-16745.199000000001</v>
      </c>
      <c r="O57" s="81">
        <f t="shared" si="13"/>
        <v>-2252.7840000000006</v>
      </c>
      <c r="P57" s="81">
        <f t="shared" si="13"/>
        <v>-59</v>
      </c>
      <c r="R57" s="81">
        <f t="shared" si="13"/>
        <v>-43516.358999999997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99992</v>
      </c>
      <c r="C59" s="46"/>
      <c r="D59" s="70">
        <f>SUM(E59:P59)</f>
        <v>99992</v>
      </c>
      <c r="E59" s="80">
        <v>-7</v>
      </c>
      <c r="F59" s="80">
        <v>100000</v>
      </c>
      <c r="G59" s="80">
        <v>0</v>
      </c>
      <c r="H59" s="80">
        <v>0</v>
      </c>
      <c r="I59" s="80">
        <v>135</v>
      </c>
      <c r="J59" s="80">
        <v>-420</v>
      </c>
      <c r="K59" s="80">
        <v>284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-37844.108999999997</v>
      </c>
      <c r="C61" s="46"/>
      <c r="D61" s="81">
        <f t="shared" ref="D61:M61" si="14">D57+D59</f>
        <v>5672.25</v>
      </c>
      <c r="E61" s="81">
        <f t="shared" si="14"/>
        <v>19031.289000000015</v>
      </c>
      <c r="F61" s="81">
        <f t="shared" si="14"/>
        <v>3080.7679999999964</v>
      </c>
      <c r="G61" s="81">
        <f t="shared" si="14"/>
        <v>0</v>
      </c>
      <c r="H61" s="81">
        <f t="shared" si="14"/>
        <v>522.88600000000019</v>
      </c>
      <c r="I61" s="81">
        <f t="shared" si="14"/>
        <v>135</v>
      </c>
      <c r="J61" s="81">
        <f t="shared" si="14"/>
        <v>1742.5610000000001</v>
      </c>
      <c r="K61" s="81">
        <f t="shared" si="14"/>
        <v>216.72899999999998</v>
      </c>
      <c r="L61" s="81">
        <f t="shared" si="14"/>
        <v>-0.19899999999999807</v>
      </c>
      <c r="M61" s="81">
        <f t="shared" si="14"/>
        <v>-16745</v>
      </c>
      <c r="N61" s="81">
        <f>M61+L61</f>
        <v>-16745.199000000001</v>
      </c>
      <c r="O61" s="81">
        <f>O57+O59</f>
        <v>-2252.7840000000006</v>
      </c>
      <c r="P61" s="81">
        <f>P57+P59</f>
        <v>-59</v>
      </c>
      <c r="R61" s="81">
        <f>R57+R59</f>
        <v>-43516.358999999997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-204</v>
      </c>
    </row>
  </sheetData>
  <printOptions horizontalCentered="1"/>
  <pageMargins left="0.17" right="0.17" top="0.73" bottom="0.5" header="0.27" footer="0"/>
  <pageSetup scale="70" orientation="landscape" useFirstPageNumber="1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showZeros="0" showOutlineSymbols="0" topLeftCell="A45" workbookViewId="0">
      <selection activeCell="F72" sqref="F72"/>
    </sheetView>
  </sheetViews>
  <sheetFormatPr defaultColWidth="9" defaultRowHeight="11.25" outlineLevelRow="4" x14ac:dyDescent="0.2"/>
  <cols>
    <col min="1" max="1" width="52.83203125" style="2" customWidth="1"/>
    <col min="2" max="3" width="1.83203125" style="2" customWidth="1"/>
    <col min="4" max="4" width="10.83203125" style="2" customWidth="1"/>
    <col min="5" max="5" width="1.83203125" style="2" customWidth="1"/>
    <col min="6" max="13" width="10.83203125" style="2" customWidth="1"/>
    <col min="14" max="15" width="10.83203125" style="2" hidden="1" customWidth="1"/>
    <col min="16" max="18" width="10.83203125" style="2" customWidth="1"/>
    <col min="19" max="16384" width="9" style="2"/>
  </cols>
  <sheetData>
    <row r="1" spans="1:18" x14ac:dyDescent="0.2">
      <c r="A1" s="33" t="s">
        <v>53</v>
      </c>
      <c r="B1" s="25"/>
      <c r="C1" s="25"/>
      <c r="D1" s="25"/>
      <c r="E1" s="25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">
      <c r="A2" s="1" t="s">
        <v>2</v>
      </c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26" t="s">
        <v>73</v>
      </c>
      <c r="B3" s="25"/>
      <c r="D3" s="31"/>
      <c r="E3" s="3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">
      <c r="A4" s="25"/>
      <c r="B4" s="21"/>
      <c r="D4" s="5" t="s">
        <v>52</v>
      </c>
      <c r="E4" s="3"/>
      <c r="F4" s="5" t="s">
        <v>55</v>
      </c>
      <c r="G4" s="5" t="s">
        <v>56</v>
      </c>
      <c r="H4" s="5" t="s">
        <v>57</v>
      </c>
      <c r="I4" s="5" t="s">
        <v>58</v>
      </c>
      <c r="J4" s="5" t="s">
        <v>59</v>
      </c>
      <c r="K4" s="5" t="s">
        <v>72</v>
      </c>
      <c r="L4" s="5" t="s">
        <v>61</v>
      </c>
      <c r="M4" s="5" t="s">
        <v>62</v>
      </c>
      <c r="N4" s="5" t="s">
        <v>63</v>
      </c>
      <c r="O4" s="5" t="s">
        <v>65</v>
      </c>
      <c r="P4" s="5" t="s">
        <v>63</v>
      </c>
      <c r="Q4" s="5" t="s">
        <v>66</v>
      </c>
      <c r="R4" s="5" t="s">
        <v>3</v>
      </c>
    </row>
    <row r="5" spans="1:18" x14ac:dyDescent="0.2">
      <c r="A5" s="35" t="s">
        <v>0</v>
      </c>
      <c r="B5" s="21"/>
      <c r="C5" s="5"/>
      <c r="D5" s="6" t="s">
        <v>54</v>
      </c>
      <c r="E5" s="3"/>
      <c r="F5" s="6"/>
      <c r="G5" s="6"/>
      <c r="H5" s="6"/>
      <c r="I5" s="6"/>
      <c r="J5" s="6"/>
      <c r="K5" s="6">
        <v>543</v>
      </c>
      <c r="L5" s="6">
        <v>584</v>
      </c>
      <c r="M5" s="6">
        <v>583</v>
      </c>
      <c r="N5" s="6" t="s">
        <v>64</v>
      </c>
      <c r="O5" s="6"/>
      <c r="P5" s="6" t="s">
        <v>98</v>
      </c>
      <c r="Q5" s="6" t="s">
        <v>67</v>
      </c>
      <c r="R5" s="6"/>
    </row>
    <row r="6" spans="1:18" ht="9.9499999999999993" customHeight="1" outlineLevel="2" x14ac:dyDescent="0.2">
      <c r="A6" s="7"/>
      <c r="B6" s="21"/>
      <c r="C6" s="21"/>
      <c r="D6" s="39"/>
      <c r="E6" s="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0.5" customHeight="1" outlineLevel="4" x14ac:dyDescent="0.2">
      <c r="A7" s="10" t="s">
        <v>4</v>
      </c>
      <c r="B7" s="21"/>
      <c r="C7" s="21"/>
      <c r="D7" s="11"/>
      <c r="E7" s="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0.5" customHeight="1" outlineLevel="4" x14ac:dyDescent="0.2">
      <c r="A8" s="12" t="s">
        <v>28</v>
      </c>
      <c r="B8" s="21"/>
      <c r="C8" s="21"/>
      <c r="D8" s="36">
        <f>SUM(F8:O8)+SUM(Q8:R8)</f>
        <v>85952</v>
      </c>
      <c r="E8" s="41"/>
      <c r="F8" s="36">
        <f>ROUND('[1]03YTD'!I$65,0)</f>
        <v>57080</v>
      </c>
      <c r="G8" s="36">
        <f>ROUND('[1]03YTD'!J$65,0)</f>
        <v>14708</v>
      </c>
      <c r="H8" s="36">
        <f>ROUND('[1]03YTD'!K$65,0)</f>
        <v>6279</v>
      </c>
      <c r="I8" s="36">
        <f>ROUND('[1]03YTD'!L$65,0)</f>
        <v>851</v>
      </c>
      <c r="J8" s="36">
        <f>ROUND('[1]03YTD'!M$65,0)</f>
        <v>-180</v>
      </c>
      <c r="K8" s="36">
        <f>ROUND('[1]03YTD'!N$65,0)</f>
        <v>9</v>
      </c>
      <c r="L8" s="36">
        <f>ROUND('[1]03YTD'!O$65,0)</f>
        <v>1070</v>
      </c>
      <c r="M8" s="36">
        <f>ROUND('[1]03YTD'!P$65,0)</f>
        <v>-191</v>
      </c>
      <c r="N8" s="36">
        <f>ROUND('[1]03YTD'!Q$65,0)</f>
        <v>2409</v>
      </c>
      <c r="O8" s="36">
        <f>ROUND('[1]03YTD'!R$65,0)</f>
        <v>5</v>
      </c>
      <c r="P8" s="36">
        <f>N8+O8</f>
        <v>2414</v>
      </c>
      <c r="Q8" s="36">
        <f>ROUND('[1]03YTD'!U$65,0)</f>
        <v>3912</v>
      </c>
      <c r="R8" s="36">
        <f>ROUND('[1]03YTD'!V$65,0)</f>
        <v>0</v>
      </c>
    </row>
    <row r="9" spans="1:18" ht="10.5" customHeight="1" outlineLevel="4" x14ac:dyDescent="0.2">
      <c r="A9" s="14" t="s">
        <v>29</v>
      </c>
      <c r="B9" s="21"/>
      <c r="C9" s="21"/>
      <c r="D9" s="38">
        <f t="shared" ref="D9:D66" si="0">SUM(F9:O9)+SUM(Q9:R9)</f>
        <v>7029</v>
      </c>
      <c r="E9" s="41"/>
      <c r="F9" s="38">
        <f>ROUND(-'[1]03YTD'!I$72,0)</f>
        <v>-4013</v>
      </c>
      <c r="G9" s="38">
        <f>ROUND(-'[1]03YTD'!J$72,0)</f>
        <v>-223</v>
      </c>
      <c r="H9" s="38">
        <f>ROUND(-'[1]03YTD'!K$72,0)</f>
        <v>0</v>
      </c>
      <c r="I9" s="38">
        <f>ROUND(-'[1]03YTD'!L$72,0)</f>
        <v>880</v>
      </c>
      <c r="J9" s="38">
        <f>ROUND(-'[1]03YTD'!M$72,0)</f>
        <v>39</v>
      </c>
      <c r="K9" s="38">
        <f>ROUND(-'[1]03YTD'!N$72,0)</f>
        <v>0</v>
      </c>
      <c r="L9" s="38">
        <f>ROUND(-'[1]03YTD'!O$72,0)</f>
        <v>84</v>
      </c>
      <c r="M9" s="38">
        <f>ROUND(-'[1]03YTD'!P$72,0)</f>
        <v>0</v>
      </c>
      <c r="N9" s="38">
        <f>ROUND(-'[1]03YTD'!Q$72,0)</f>
        <v>288</v>
      </c>
      <c r="O9" s="38">
        <f>ROUND(-'[1]03YTD'!R$72,0)</f>
        <v>0</v>
      </c>
      <c r="P9" s="38">
        <f>N9+O9</f>
        <v>288</v>
      </c>
      <c r="Q9" s="38">
        <f>ROUND(-'[1]03YTD'!U$72,0)</f>
        <v>9974</v>
      </c>
      <c r="R9" s="38">
        <f>ROUND(-'[1]03YTD'!V$72,0)</f>
        <v>0</v>
      </c>
    </row>
    <row r="10" spans="1:18" ht="10.5" customHeight="1" outlineLevel="4" x14ac:dyDescent="0.2">
      <c r="A10" s="12" t="s">
        <v>49</v>
      </c>
      <c r="B10" s="21"/>
      <c r="C10" s="21"/>
      <c r="D10" s="36">
        <f t="shared" si="0"/>
        <v>92981</v>
      </c>
      <c r="E10" s="3"/>
      <c r="F10" s="36">
        <f>F8+F9</f>
        <v>53067</v>
      </c>
      <c r="G10" s="36">
        <f>G8+G9</f>
        <v>14485</v>
      </c>
      <c r="H10" s="36">
        <f t="shared" ref="H10:R10" si="1">H8+H9</f>
        <v>6279</v>
      </c>
      <c r="I10" s="36">
        <f t="shared" si="1"/>
        <v>1731</v>
      </c>
      <c r="J10" s="36">
        <f t="shared" si="1"/>
        <v>-141</v>
      </c>
      <c r="K10" s="36">
        <f t="shared" si="1"/>
        <v>9</v>
      </c>
      <c r="L10" s="36">
        <f t="shared" si="1"/>
        <v>1154</v>
      </c>
      <c r="M10" s="36">
        <f t="shared" si="1"/>
        <v>-191</v>
      </c>
      <c r="N10" s="36">
        <f t="shared" si="1"/>
        <v>2697</v>
      </c>
      <c r="O10" s="36">
        <f t="shared" si="1"/>
        <v>5</v>
      </c>
      <c r="P10" s="36">
        <f>N10+O10</f>
        <v>2702</v>
      </c>
      <c r="Q10" s="36">
        <f t="shared" si="1"/>
        <v>13886</v>
      </c>
      <c r="R10" s="36">
        <f t="shared" si="1"/>
        <v>0</v>
      </c>
    </row>
    <row r="11" spans="1:18" ht="9.9499999999999993" customHeight="1" outlineLevel="4" x14ac:dyDescent="0.2">
      <c r="A11" s="15" t="s">
        <v>5</v>
      </c>
      <c r="B11" s="21"/>
      <c r="C11" s="21"/>
      <c r="D11" s="36">
        <f t="shared" si="0"/>
        <v>16710</v>
      </c>
      <c r="E11" s="3"/>
      <c r="F11" s="36">
        <f>ROUND('[1]03YTD'!I$36,0)</f>
        <v>11877</v>
      </c>
      <c r="G11" s="36">
        <f>ROUND('[1]03YTD'!J$36,0)</f>
        <v>4581</v>
      </c>
      <c r="H11" s="36">
        <f>ROUND('[1]03YTD'!K$36,0)</f>
        <v>0</v>
      </c>
      <c r="I11" s="36">
        <f>ROUND('[1]03YTD'!L$36,0)</f>
        <v>0</v>
      </c>
      <c r="J11" s="36">
        <f>ROUND('[1]03YTD'!M$36,0)</f>
        <v>192</v>
      </c>
      <c r="K11" s="36">
        <f>ROUND('[1]03YTD'!N$36,0)</f>
        <v>0</v>
      </c>
      <c r="L11" s="36">
        <f>ROUND('[1]03YTD'!O$36,0)</f>
        <v>0</v>
      </c>
      <c r="M11" s="36">
        <f>ROUND('[1]03YTD'!P$36,0)</f>
        <v>0</v>
      </c>
      <c r="N11" s="36">
        <f>ROUND('[1]03YTD'!Q$36,0)</f>
        <v>33</v>
      </c>
      <c r="O11" s="36">
        <f>ROUND('[1]03YTD'!R$36,0)</f>
        <v>27</v>
      </c>
      <c r="P11" s="36">
        <f t="shared" ref="P11:P20" si="2">N11+O11</f>
        <v>60</v>
      </c>
      <c r="Q11" s="36">
        <f>ROUND('[1]03YTD'!U$36,0)</f>
        <v>0</v>
      </c>
      <c r="R11" s="36">
        <f>ROUND('[1]03YTD'!V$36,0)</f>
        <v>0</v>
      </c>
    </row>
    <row r="12" spans="1:18" ht="9.9499999999999993" customHeight="1" outlineLevel="4" x14ac:dyDescent="0.2">
      <c r="A12" s="15" t="s">
        <v>1</v>
      </c>
      <c r="B12" s="21"/>
      <c r="C12" s="21"/>
      <c r="D12" s="13">
        <f t="shared" si="0"/>
        <v>0</v>
      </c>
      <c r="E12" s="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>
        <f t="shared" si="2"/>
        <v>0</v>
      </c>
      <c r="Q12" s="13"/>
      <c r="R12" s="13"/>
    </row>
    <row r="13" spans="1:18" ht="9.9499999999999993" customHeight="1" outlineLevel="4" x14ac:dyDescent="0.2">
      <c r="A13" s="15" t="s">
        <v>6</v>
      </c>
      <c r="B13" s="21"/>
      <c r="C13" s="21"/>
      <c r="D13" s="36">
        <f t="shared" si="0"/>
        <v>-4544</v>
      </c>
      <c r="E13" s="41"/>
      <c r="F13" s="36">
        <f>ROUND('[1]03YTD'!I$62,0)</f>
        <v>-2274</v>
      </c>
      <c r="G13" s="36">
        <f>ROUND('[1]03YTD'!J$62,0)</f>
        <v>542</v>
      </c>
      <c r="H13" s="36">
        <f>ROUND('[1]03YTD'!K$62,0)</f>
        <v>0</v>
      </c>
      <c r="I13" s="36">
        <f>ROUND('[1]03YTD'!L$62,0)</f>
        <v>470</v>
      </c>
      <c r="J13" s="36">
        <f>ROUND('[1]03YTD'!M$62,0)</f>
        <v>-53</v>
      </c>
      <c r="K13" s="36">
        <f>ROUND('[1]03YTD'!N$62,0)</f>
        <v>0</v>
      </c>
      <c r="L13" s="36">
        <f>ROUND('[1]03YTD'!O$62,0)</f>
        <v>-12</v>
      </c>
      <c r="M13" s="36">
        <f>ROUND('[1]03YTD'!P$62,0)</f>
        <v>-2</v>
      </c>
      <c r="N13" s="36">
        <f>ROUND('[1]03YTD'!Q$62,0)</f>
        <v>-2771</v>
      </c>
      <c r="O13" s="36">
        <f>ROUND('[1]03YTD'!R$62,0)</f>
        <v>-9</v>
      </c>
      <c r="P13" s="36">
        <f t="shared" si="2"/>
        <v>-2780</v>
      </c>
      <c r="Q13" s="36">
        <f>ROUND('[1]03YTD'!U$62,0)</f>
        <v>-435</v>
      </c>
      <c r="R13" s="36">
        <f>ROUND('[1]03YTD'!V$62,0)</f>
        <v>0</v>
      </c>
    </row>
    <row r="14" spans="1:18" ht="9.9499999999999993" customHeight="1" outlineLevel="4" x14ac:dyDescent="0.2">
      <c r="A14" s="16" t="s">
        <v>36</v>
      </c>
      <c r="B14" s="21"/>
      <c r="C14" s="21"/>
      <c r="D14" s="13">
        <f t="shared" si="0"/>
        <v>0</v>
      </c>
      <c r="E14" s="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f t="shared" si="2"/>
        <v>0</v>
      </c>
      <c r="Q14" s="13"/>
      <c r="R14" s="13"/>
    </row>
    <row r="15" spans="1:18" ht="9.9499999999999993" customHeight="1" outlineLevel="4" x14ac:dyDescent="0.2">
      <c r="A15" s="12" t="s">
        <v>22</v>
      </c>
      <c r="B15" s="21"/>
      <c r="C15" s="21"/>
      <c r="D15" s="36">
        <f t="shared" si="0"/>
        <v>-722</v>
      </c>
      <c r="E15" s="41"/>
      <c r="F15" s="36">
        <f>ROUND('[1]03YTD'!I$46,0)*-1</f>
        <v>-722</v>
      </c>
      <c r="G15" s="36">
        <f>ROUND('[1]03YTD'!J$46,0)*-1</f>
        <v>0</v>
      </c>
      <c r="H15" s="36">
        <f>ROUND('[1]03YTD'!K$46,0)*-1</f>
        <v>0</v>
      </c>
      <c r="I15" s="36">
        <f>ROUND('[1]03YTD'!L$46,0)*-1</f>
        <v>0</v>
      </c>
      <c r="J15" s="36">
        <f>ROUND('[1]03YTD'!M$46,0)*-1</f>
        <v>0</v>
      </c>
      <c r="K15" s="36">
        <f>ROUND('[1]03YTD'!N$46,0)*-1</f>
        <v>0</v>
      </c>
      <c r="L15" s="36">
        <f>ROUND('[1]03YTD'!O$46,0)*-1</f>
        <v>0</v>
      </c>
      <c r="M15" s="36">
        <f>ROUND('[1]03YTD'!P$46,0)*-1</f>
        <v>0</v>
      </c>
      <c r="N15" s="36">
        <f>ROUND('[1]03YTD'!Q$46,0)*-1</f>
        <v>0</v>
      </c>
      <c r="O15" s="36">
        <f>ROUND('[1]03YTD'!R$46,0)*-1</f>
        <v>0</v>
      </c>
      <c r="P15" s="36">
        <f t="shared" si="2"/>
        <v>0</v>
      </c>
      <c r="Q15" s="36">
        <f>ROUND('[1]03YTD'!U$46,0)*-1</f>
        <v>0</v>
      </c>
      <c r="R15" s="36">
        <f>ROUND('[1]03YTD'!V$46,0)*-1</f>
        <v>0</v>
      </c>
    </row>
    <row r="16" spans="1:18" ht="9.9499999999999993" customHeight="1" outlineLevel="4" x14ac:dyDescent="0.2">
      <c r="A16" s="12" t="s">
        <v>37</v>
      </c>
      <c r="B16" s="21"/>
      <c r="C16" s="21"/>
      <c r="D16" s="13">
        <f t="shared" si="0"/>
        <v>0</v>
      </c>
      <c r="E16" s="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2"/>
        <v>0</v>
      </c>
      <c r="Q16" s="13"/>
      <c r="R16" s="13"/>
    </row>
    <row r="17" spans="1:18" ht="9.9499999999999993" customHeight="1" outlineLevel="4" x14ac:dyDescent="0.2">
      <c r="A17" s="16" t="s">
        <v>34</v>
      </c>
      <c r="B17" s="21"/>
      <c r="C17" s="21"/>
      <c r="D17" s="13">
        <f t="shared" si="0"/>
        <v>0</v>
      </c>
      <c r="E17" s="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>
        <f t="shared" si="2"/>
        <v>0</v>
      </c>
      <c r="Q17" s="13"/>
      <c r="R17" s="13"/>
    </row>
    <row r="18" spans="1:18" ht="9" customHeight="1" outlineLevel="4" x14ac:dyDescent="0.2">
      <c r="A18" s="12" t="s">
        <v>35</v>
      </c>
      <c r="B18" s="21"/>
      <c r="C18" s="21"/>
      <c r="D18" s="13">
        <f t="shared" si="0"/>
        <v>0</v>
      </c>
      <c r="E18" s="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>
        <f t="shared" si="2"/>
        <v>0</v>
      </c>
      <c r="Q18" s="13"/>
      <c r="R18" s="13"/>
    </row>
    <row r="19" spans="1:18" ht="9.9499999999999993" customHeight="1" outlineLevel="4" x14ac:dyDescent="0.2">
      <c r="A19" s="12" t="s">
        <v>38</v>
      </c>
      <c r="B19" s="21"/>
      <c r="C19" s="21"/>
      <c r="D19" s="36">
        <f t="shared" si="0"/>
        <v>-8116</v>
      </c>
      <c r="E19" s="41"/>
      <c r="F19" s="36">
        <f>ROUND(-'[1]03YTD'!I$43,0)</f>
        <v>-7</v>
      </c>
      <c r="G19" s="36">
        <f>ROUND(-'[1]03YTD'!J$43,0)</f>
        <v>0</v>
      </c>
      <c r="H19" s="36">
        <f>ROUND(-'[1]03YTD'!K$43,0)</f>
        <v>-6265</v>
      </c>
      <c r="I19" s="36">
        <f>ROUND(-'[1]03YTD'!L$43,0)</f>
        <v>-1844</v>
      </c>
      <c r="J19" s="36">
        <f>ROUND(-'[1]03YTD'!M$43,0)</f>
        <v>0</v>
      </c>
      <c r="K19" s="36">
        <f>ROUND(-'[1]03YTD'!N$43,0)</f>
        <v>0</v>
      </c>
      <c r="L19" s="36">
        <f>ROUND(-'[1]03YTD'!O$43,0)</f>
        <v>0</v>
      </c>
      <c r="M19" s="36">
        <f>ROUND(-'[1]03YTD'!P$43,0)</f>
        <v>0</v>
      </c>
      <c r="N19" s="36">
        <f>ROUND(-'[1]03YTD'!Q$43,0)</f>
        <v>0</v>
      </c>
      <c r="O19" s="36">
        <f>ROUND(-'[1]03YTD'!R$43,0)</f>
        <v>0</v>
      </c>
      <c r="P19" s="36">
        <f t="shared" si="2"/>
        <v>0</v>
      </c>
      <c r="Q19" s="36">
        <f>ROUND(-'[1]03YTD'!U$43,0)</f>
        <v>0</v>
      </c>
      <c r="R19" s="36">
        <f>ROUND(-'[1]03YTD'!V$43,0)</f>
        <v>0</v>
      </c>
    </row>
    <row r="20" spans="1:18" ht="9.9499999999999993" customHeight="1" outlineLevel="4" x14ac:dyDescent="0.2">
      <c r="A20" s="12" t="s">
        <v>39</v>
      </c>
      <c r="B20" s="21"/>
      <c r="C20" s="21"/>
      <c r="D20" s="30">
        <f t="shared" si="0"/>
        <v>1324</v>
      </c>
      <c r="E20" s="3"/>
      <c r="F20" s="30">
        <v>700</v>
      </c>
      <c r="G20" s="30"/>
      <c r="H20" s="30"/>
      <c r="I20" s="30">
        <v>624</v>
      </c>
      <c r="J20" s="30"/>
      <c r="K20" s="30"/>
      <c r="L20" s="30"/>
      <c r="M20" s="30"/>
      <c r="N20" s="30"/>
      <c r="O20" s="30"/>
      <c r="P20" s="30">
        <f t="shared" si="2"/>
        <v>0</v>
      </c>
      <c r="Q20" s="30"/>
      <c r="R20" s="30"/>
    </row>
    <row r="21" spans="1:18" ht="9.9499999999999993" customHeight="1" outlineLevel="4" x14ac:dyDescent="0.2">
      <c r="A21" s="12" t="s">
        <v>32</v>
      </c>
      <c r="B21" s="21"/>
      <c r="C21" s="21"/>
      <c r="D21" s="20">
        <f t="shared" si="0"/>
        <v>15141</v>
      </c>
      <c r="E21" s="3"/>
      <c r="F21" s="20">
        <f>10300+186-64+7+1-2519</f>
        <v>7911</v>
      </c>
      <c r="G21" s="20">
        <f>2013+322+1043-1</f>
        <v>3377</v>
      </c>
      <c r="H21" s="20">
        <f>-1787+1787</f>
        <v>0</v>
      </c>
      <c r="I21" s="20">
        <v>-2</v>
      </c>
      <c r="J21" s="20">
        <f>-10089-11+22442-20054+9</f>
        <v>-7703</v>
      </c>
      <c r="K21" s="20">
        <v>10</v>
      </c>
      <c r="L21" s="20">
        <f>44-356</f>
        <v>-312</v>
      </c>
      <c r="M21" s="20">
        <f>6-15</f>
        <v>-9</v>
      </c>
      <c r="N21" s="20">
        <f>992-2502</f>
        <v>-1510</v>
      </c>
      <c r="O21" s="20">
        <v>1290</v>
      </c>
      <c r="P21" s="20">
        <f>N21+O21</f>
        <v>-220</v>
      </c>
      <c r="Q21" s="20">
        <f>14028-1787</f>
        <v>12241</v>
      </c>
      <c r="R21" s="20">
        <v>-152</v>
      </c>
    </row>
    <row r="22" spans="1:18" ht="9.9499999999999993" customHeight="1" outlineLevel="4" x14ac:dyDescent="0.2">
      <c r="A22" s="14" t="s">
        <v>31</v>
      </c>
      <c r="B22" s="21"/>
      <c r="C22" s="21"/>
      <c r="D22" s="32">
        <f t="shared" si="0"/>
        <v>112774</v>
      </c>
      <c r="E22" s="3"/>
      <c r="F22" s="32">
        <f>SUM(F10:F21)</f>
        <v>70552</v>
      </c>
      <c r="G22" s="32">
        <f t="shared" ref="G22:R22" si="3">SUM(G10:G21)</f>
        <v>22985</v>
      </c>
      <c r="H22" s="32">
        <f t="shared" si="3"/>
        <v>14</v>
      </c>
      <c r="I22" s="32">
        <f t="shared" si="3"/>
        <v>979</v>
      </c>
      <c r="J22" s="32">
        <f t="shared" si="3"/>
        <v>-7705</v>
      </c>
      <c r="K22" s="32">
        <f t="shared" si="3"/>
        <v>19</v>
      </c>
      <c r="L22" s="32">
        <f t="shared" si="3"/>
        <v>830</v>
      </c>
      <c r="M22" s="32">
        <f t="shared" si="3"/>
        <v>-202</v>
      </c>
      <c r="N22" s="32">
        <f t="shared" si="3"/>
        <v>-1551</v>
      </c>
      <c r="O22" s="32">
        <f t="shared" si="3"/>
        <v>1313</v>
      </c>
      <c r="P22" s="32">
        <f>N22+O22</f>
        <v>-238</v>
      </c>
      <c r="Q22" s="32">
        <f t="shared" si="3"/>
        <v>25692</v>
      </c>
      <c r="R22" s="32">
        <f t="shared" si="3"/>
        <v>-152</v>
      </c>
    </row>
    <row r="23" spans="1:18" outlineLevel="4" x14ac:dyDescent="0.2">
      <c r="A23" s="15" t="s">
        <v>7</v>
      </c>
      <c r="B23" s="21"/>
      <c r="C23" s="21"/>
      <c r="D23" s="25">
        <f t="shared" si="0"/>
        <v>0</v>
      </c>
      <c r="E23" s="3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>
        <f t="shared" ref="P23:P67" si="4">N23+O23</f>
        <v>0</v>
      </c>
      <c r="Q23" s="25"/>
      <c r="R23" s="25"/>
    </row>
    <row r="24" spans="1:18" ht="9.6" customHeight="1" outlineLevel="4" x14ac:dyDescent="0.2">
      <c r="A24" s="16" t="s">
        <v>8</v>
      </c>
      <c r="B24" s="21"/>
      <c r="C24" s="21"/>
      <c r="D24" s="13">
        <f t="shared" si="0"/>
        <v>-783</v>
      </c>
      <c r="E24" s="3"/>
      <c r="F24" s="13">
        <v>1819</v>
      </c>
      <c r="G24" s="13">
        <v>-3182</v>
      </c>
      <c r="H24" s="13"/>
      <c r="I24" s="13">
        <v>1</v>
      </c>
      <c r="J24" s="13">
        <v>-8</v>
      </c>
      <c r="K24" s="13"/>
      <c r="L24" s="13">
        <v>358</v>
      </c>
      <c r="M24" s="13"/>
      <c r="N24" s="13"/>
      <c r="O24" s="13"/>
      <c r="P24" s="13">
        <f t="shared" si="4"/>
        <v>0</v>
      </c>
      <c r="Q24" s="13">
        <v>-5</v>
      </c>
      <c r="R24" s="13">
        <v>234</v>
      </c>
    </row>
    <row r="25" spans="1:18" ht="9.6" customHeight="1" outlineLevel="4" x14ac:dyDescent="0.2">
      <c r="A25" s="15" t="s">
        <v>75</v>
      </c>
      <c r="B25" s="21"/>
      <c r="C25" s="21"/>
      <c r="D25" s="13">
        <f t="shared" si="0"/>
        <v>-46</v>
      </c>
      <c r="E25" s="3"/>
      <c r="F25" s="13">
        <v>1482</v>
      </c>
      <c r="G25" s="13">
        <v>-1528</v>
      </c>
      <c r="H25" s="13"/>
      <c r="I25" s="13"/>
      <c r="J25" s="13"/>
      <c r="K25" s="13"/>
      <c r="L25" s="13"/>
      <c r="M25" s="13"/>
      <c r="N25" s="13"/>
      <c r="O25" s="13"/>
      <c r="P25" s="13">
        <f t="shared" si="4"/>
        <v>0</v>
      </c>
      <c r="Q25" s="13"/>
      <c r="R25" s="13"/>
    </row>
    <row r="26" spans="1:18" ht="9.6" customHeight="1" outlineLevel="4" x14ac:dyDescent="0.2">
      <c r="A26" s="16" t="s">
        <v>20</v>
      </c>
      <c r="B26" s="21"/>
      <c r="C26" s="21"/>
      <c r="D26" s="13">
        <f t="shared" si="0"/>
        <v>-2452</v>
      </c>
      <c r="E26" s="3"/>
      <c r="F26" s="13">
        <v>-19</v>
      </c>
      <c r="G26" s="13">
        <v>-188</v>
      </c>
      <c r="H26" s="13"/>
      <c r="I26" s="13">
        <f>4-11</f>
        <v>-7</v>
      </c>
      <c r="J26" s="13">
        <v>17</v>
      </c>
      <c r="K26" s="13">
        <f>138-234</f>
        <v>-96</v>
      </c>
      <c r="L26" s="13">
        <f>473+704</f>
        <v>1177</v>
      </c>
      <c r="M26" s="13">
        <f>359-470</f>
        <v>-111</v>
      </c>
      <c r="N26" s="13">
        <v>-72933</v>
      </c>
      <c r="O26" s="13">
        <v>72926</v>
      </c>
      <c r="P26" s="13">
        <f t="shared" si="4"/>
        <v>-7</v>
      </c>
      <c r="Q26" s="13">
        <v>-3218</v>
      </c>
      <c r="R26" s="13"/>
    </row>
    <row r="27" spans="1:18" ht="9.6" customHeight="1" outlineLevel="4" x14ac:dyDescent="0.2">
      <c r="A27" s="16" t="s">
        <v>21</v>
      </c>
      <c r="B27" s="21"/>
      <c r="C27" s="21"/>
      <c r="D27" s="13">
        <f t="shared" si="0"/>
        <v>0</v>
      </c>
      <c r="E27" s="3"/>
      <c r="F27" s="13"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>
        <f t="shared" si="4"/>
        <v>0</v>
      </c>
      <c r="Q27" s="13"/>
      <c r="R27" s="13"/>
    </row>
    <row r="28" spans="1:18" ht="9.6" customHeight="1" outlineLevel="4" x14ac:dyDescent="0.2">
      <c r="A28" s="16" t="s">
        <v>9</v>
      </c>
      <c r="B28" s="21"/>
      <c r="C28" s="21"/>
      <c r="D28" s="13">
        <f t="shared" si="0"/>
        <v>146</v>
      </c>
      <c r="E28" s="3"/>
      <c r="F28" s="13">
        <v>159</v>
      </c>
      <c r="G28" s="13">
        <v>-13</v>
      </c>
      <c r="H28" s="13"/>
      <c r="I28" s="13"/>
      <c r="J28" s="13"/>
      <c r="K28" s="13"/>
      <c r="L28" s="13"/>
      <c r="M28" s="13"/>
      <c r="N28" s="13"/>
      <c r="O28" s="13"/>
      <c r="P28" s="13">
        <f t="shared" si="4"/>
        <v>0</v>
      </c>
      <c r="Q28" s="13"/>
      <c r="R28" s="13"/>
    </row>
    <row r="29" spans="1:18" ht="9.6" customHeight="1" outlineLevel="4" x14ac:dyDescent="0.2">
      <c r="A29" s="16" t="s">
        <v>10</v>
      </c>
      <c r="B29" s="21"/>
      <c r="C29" s="21"/>
      <c r="D29" s="13">
        <f t="shared" si="0"/>
        <v>308</v>
      </c>
      <c r="E29" s="3"/>
      <c r="F29" s="13">
        <v>275</v>
      </c>
      <c r="G29" s="13">
        <v>42</v>
      </c>
      <c r="H29" s="13"/>
      <c r="I29" s="13">
        <v>-9</v>
      </c>
      <c r="J29" s="13"/>
      <c r="K29" s="13"/>
      <c r="L29" s="13"/>
      <c r="M29" s="13"/>
      <c r="N29" s="13"/>
      <c r="O29" s="13"/>
      <c r="P29" s="13">
        <f t="shared" si="4"/>
        <v>0</v>
      </c>
      <c r="Q29" s="13"/>
      <c r="R29" s="13"/>
    </row>
    <row r="30" spans="1:18" ht="9.6" customHeight="1" outlineLevel="4" x14ac:dyDescent="0.2">
      <c r="A30" s="16" t="s">
        <v>11</v>
      </c>
      <c r="B30" s="21"/>
      <c r="C30" s="21"/>
      <c r="D30" s="13">
        <f t="shared" si="0"/>
        <v>-22630</v>
      </c>
      <c r="E30" s="3"/>
      <c r="F30" s="13">
        <v>-13695</v>
      </c>
      <c r="G30" s="13">
        <v>-2887</v>
      </c>
      <c r="H30" s="13"/>
      <c r="I30" s="13">
        <v>-12</v>
      </c>
      <c r="J30" s="13">
        <v>-3067</v>
      </c>
      <c r="K30" s="13"/>
      <c r="L30" s="13">
        <v>-1638</v>
      </c>
      <c r="M30" s="13"/>
      <c r="N30" s="13">
        <v>-231</v>
      </c>
      <c r="O30" s="13"/>
      <c r="P30" s="13">
        <f t="shared" si="4"/>
        <v>-231</v>
      </c>
      <c r="Q30" s="13">
        <v>-891</v>
      </c>
      <c r="R30" s="13">
        <v>-209</v>
      </c>
    </row>
    <row r="31" spans="1:18" ht="9.6" customHeight="1" outlineLevel="4" x14ac:dyDescent="0.2">
      <c r="A31" s="15" t="s">
        <v>74</v>
      </c>
      <c r="B31" s="21"/>
      <c r="C31" s="21"/>
      <c r="D31" s="13">
        <f t="shared" si="0"/>
        <v>0</v>
      </c>
      <c r="E31" s="3"/>
      <c r="F31" s="13"/>
      <c r="G31" s="13">
        <v>0</v>
      </c>
      <c r="H31" s="13"/>
      <c r="I31" s="13"/>
      <c r="J31" s="13"/>
      <c r="K31" s="13"/>
      <c r="L31" s="13"/>
      <c r="M31" s="13"/>
      <c r="N31" s="13"/>
      <c r="O31" s="13"/>
      <c r="P31" s="13">
        <f t="shared" si="4"/>
        <v>0</v>
      </c>
      <c r="Q31" s="13"/>
      <c r="R31" s="13"/>
    </row>
    <row r="32" spans="1:18" ht="9.6" customHeight="1" outlineLevel="4" x14ac:dyDescent="0.2">
      <c r="A32" s="16" t="s">
        <v>13</v>
      </c>
      <c r="B32" s="21"/>
      <c r="C32" s="21"/>
      <c r="D32" s="13">
        <f t="shared" si="0"/>
        <v>3025</v>
      </c>
      <c r="E32" s="3"/>
      <c r="F32" s="13">
        <v>1619</v>
      </c>
      <c r="G32" s="13">
        <v>1316</v>
      </c>
      <c r="H32" s="13"/>
      <c r="I32" s="13"/>
      <c r="J32" s="13">
        <v>-85</v>
      </c>
      <c r="K32" s="13">
        <v>-2</v>
      </c>
      <c r="L32" s="13"/>
      <c r="M32" s="13">
        <v>-1</v>
      </c>
      <c r="N32" s="13">
        <v>168</v>
      </c>
      <c r="O32" s="13">
        <v>10</v>
      </c>
      <c r="P32" s="13">
        <f t="shared" si="4"/>
        <v>178</v>
      </c>
      <c r="Q32" s="13"/>
      <c r="R32" s="13"/>
    </row>
    <row r="33" spans="1:18" ht="9.6" customHeight="1" outlineLevel="4" x14ac:dyDescent="0.2">
      <c r="A33" s="16" t="s">
        <v>14</v>
      </c>
      <c r="B33" s="21"/>
      <c r="C33" s="21"/>
      <c r="D33" s="30">
        <f t="shared" si="0"/>
        <v>3044</v>
      </c>
      <c r="E33" s="3"/>
      <c r="F33" s="30">
        <v>3878</v>
      </c>
      <c r="G33" s="30">
        <v>-832</v>
      </c>
      <c r="H33" s="30"/>
      <c r="I33" s="30"/>
      <c r="J33" s="30"/>
      <c r="K33" s="30"/>
      <c r="L33" s="30">
        <v>-2</v>
      </c>
      <c r="M33" s="30"/>
      <c r="N33" s="30"/>
      <c r="O33" s="30"/>
      <c r="P33" s="30">
        <f t="shared" si="4"/>
        <v>0</v>
      </c>
      <c r="Q33" s="30"/>
      <c r="R33" s="30"/>
    </row>
    <row r="34" spans="1:18" ht="9.6" customHeight="1" outlineLevel="4" x14ac:dyDescent="0.2">
      <c r="A34" s="16" t="s">
        <v>30</v>
      </c>
      <c r="B34" s="21"/>
      <c r="C34" s="21"/>
      <c r="D34" s="20">
        <f t="shared" si="0"/>
        <v>-6322</v>
      </c>
      <c r="E34" s="3"/>
      <c r="F34" s="20">
        <v>-1712</v>
      </c>
      <c r="G34" s="20">
        <v>-149</v>
      </c>
      <c r="H34" s="20"/>
      <c r="I34" s="20">
        <v>563</v>
      </c>
      <c r="J34" s="20"/>
      <c r="K34" s="20">
        <v>0</v>
      </c>
      <c r="L34" s="20">
        <v>0</v>
      </c>
      <c r="M34" s="20">
        <v>0</v>
      </c>
      <c r="N34" s="20"/>
      <c r="O34" s="20"/>
      <c r="P34" s="20">
        <f t="shared" si="4"/>
        <v>0</v>
      </c>
      <c r="Q34" s="20">
        <v>-5024</v>
      </c>
      <c r="R34" s="20"/>
    </row>
    <row r="35" spans="1:18" ht="9.9499999999999993" customHeight="1" outlineLevel="4" x14ac:dyDescent="0.2">
      <c r="A35" s="12" t="s">
        <v>33</v>
      </c>
      <c r="B35" s="21"/>
      <c r="C35" s="37"/>
      <c r="D35" s="38">
        <f t="shared" si="0"/>
        <v>-25710</v>
      </c>
      <c r="E35" s="3"/>
      <c r="F35" s="38">
        <f>SUM(F23:F34)</f>
        <v>-6194</v>
      </c>
      <c r="G35" s="38">
        <f t="shared" ref="G35:R35" si="5">SUM(G23:G34)</f>
        <v>-7421</v>
      </c>
      <c r="H35" s="38">
        <f t="shared" si="5"/>
        <v>0</v>
      </c>
      <c r="I35" s="38">
        <f t="shared" si="5"/>
        <v>536</v>
      </c>
      <c r="J35" s="38">
        <f t="shared" si="5"/>
        <v>-3143</v>
      </c>
      <c r="K35" s="38">
        <f t="shared" si="5"/>
        <v>-98</v>
      </c>
      <c r="L35" s="38">
        <f t="shared" si="5"/>
        <v>-105</v>
      </c>
      <c r="M35" s="38">
        <f t="shared" si="5"/>
        <v>-112</v>
      </c>
      <c r="N35" s="38">
        <f t="shared" si="5"/>
        <v>-72996</v>
      </c>
      <c r="O35" s="38">
        <f t="shared" si="5"/>
        <v>72936</v>
      </c>
      <c r="P35" s="38">
        <f t="shared" si="4"/>
        <v>-60</v>
      </c>
      <c r="Q35" s="38">
        <f t="shared" si="5"/>
        <v>-9138</v>
      </c>
      <c r="R35" s="38">
        <f t="shared" si="5"/>
        <v>25</v>
      </c>
    </row>
    <row r="36" spans="1:18" ht="12.95" customHeight="1" outlineLevel="3" x14ac:dyDescent="0.2">
      <c r="A36" s="7" t="s">
        <v>15</v>
      </c>
      <c r="B36" s="21"/>
      <c r="C36" s="21"/>
      <c r="D36" s="18">
        <f t="shared" si="0"/>
        <v>87064</v>
      </c>
      <c r="E36" s="3"/>
      <c r="F36" s="18">
        <f>F22+F35</f>
        <v>64358</v>
      </c>
      <c r="G36" s="18">
        <f t="shared" ref="G36:R36" si="6">G22+G35</f>
        <v>15564</v>
      </c>
      <c r="H36" s="18">
        <f t="shared" si="6"/>
        <v>14</v>
      </c>
      <c r="I36" s="18">
        <f t="shared" si="6"/>
        <v>1515</v>
      </c>
      <c r="J36" s="18">
        <f t="shared" si="6"/>
        <v>-10848</v>
      </c>
      <c r="K36" s="18">
        <f t="shared" si="6"/>
        <v>-79</v>
      </c>
      <c r="L36" s="18">
        <f t="shared" si="6"/>
        <v>725</v>
      </c>
      <c r="M36" s="18">
        <f t="shared" si="6"/>
        <v>-314</v>
      </c>
      <c r="N36" s="18">
        <f t="shared" si="6"/>
        <v>-74547</v>
      </c>
      <c r="O36" s="18">
        <f t="shared" si="6"/>
        <v>74249</v>
      </c>
      <c r="P36" s="18">
        <f t="shared" si="4"/>
        <v>-298</v>
      </c>
      <c r="Q36" s="18">
        <f t="shared" si="6"/>
        <v>16554</v>
      </c>
      <c r="R36" s="18">
        <f t="shared" si="6"/>
        <v>-127</v>
      </c>
    </row>
    <row r="37" spans="1:18" ht="7.5" customHeight="1" outlineLevel="3" x14ac:dyDescent="0.2">
      <c r="B37" s="21"/>
      <c r="C37" s="21"/>
      <c r="D37" s="2">
        <f t="shared" si="0"/>
        <v>0</v>
      </c>
      <c r="E37" s="3"/>
      <c r="P37" s="2">
        <f t="shared" si="4"/>
        <v>0</v>
      </c>
    </row>
    <row r="38" spans="1:18" ht="9" customHeight="1" outlineLevel="3" x14ac:dyDescent="0.2">
      <c r="A38" s="10" t="s">
        <v>16</v>
      </c>
      <c r="B38" s="21"/>
      <c r="C38" s="21"/>
      <c r="D38" s="2">
        <f t="shared" si="0"/>
        <v>0</v>
      </c>
      <c r="E38" s="3"/>
      <c r="P38" s="2">
        <f t="shared" si="4"/>
        <v>0</v>
      </c>
    </row>
    <row r="39" spans="1:18" ht="9.6" customHeight="1" outlineLevel="4" x14ac:dyDescent="0.2">
      <c r="A39" s="14" t="s">
        <v>24</v>
      </c>
      <c r="B39" s="21"/>
      <c r="C39" s="21"/>
      <c r="D39" s="17">
        <f t="shared" si="0"/>
        <v>2519</v>
      </c>
      <c r="E39" s="3"/>
      <c r="F39" s="17">
        <v>2519</v>
      </c>
      <c r="G39" s="17"/>
      <c r="H39" s="17"/>
      <c r="I39" s="17"/>
      <c r="J39" s="17"/>
      <c r="K39" s="17"/>
      <c r="L39" s="17"/>
      <c r="M39" s="17"/>
      <c r="N39" s="17"/>
      <c r="O39" s="17"/>
      <c r="P39" s="17">
        <f t="shared" si="4"/>
        <v>0</v>
      </c>
      <c r="Q39" s="17"/>
      <c r="R39" s="17"/>
    </row>
    <row r="40" spans="1:18" ht="9.6" customHeight="1" outlineLevel="4" x14ac:dyDescent="0.2">
      <c r="A40" s="14" t="s">
        <v>17</v>
      </c>
      <c r="B40" s="21"/>
      <c r="C40" s="21"/>
      <c r="D40" s="17">
        <f t="shared" si="0"/>
        <v>-25671</v>
      </c>
      <c r="E40" s="3"/>
      <c r="F40" s="17">
        <f>-45670-427</f>
        <v>-46097</v>
      </c>
      <c r="G40" s="17">
        <v>-5078</v>
      </c>
      <c r="H40" s="17"/>
      <c r="I40" s="17"/>
      <c r="J40" s="17">
        <v>25504</v>
      </c>
      <c r="K40" s="17"/>
      <c r="L40" s="17"/>
      <c r="M40" s="17"/>
      <c r="N40" s="17"/>
      <c r="O40" s="17"/>
      <c r="P40" s="17">
        <f t="shared" si="4"/>
        <v>0</v>
      </c>
      <c r="Q40" s="17"/>
      <c r="R40" s="17"/>
    </row>
    <row r="41" spans="1:18" ht="9.6" customHeight="1" outlineLevel="4" x14ac:dyDescent="0.2">
      <c r="A41" s="16" t="s">
        <v>23</v>
      </c>
      <c r="B41" s="21"/>
      <c r="C41" s="21"/>
      <c r="D41" s="17">
        <f t="shared" si="0"/>
        <v>0</v>
      </c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>
        <f t="shared" si="4"/>
        <v>0</v>
      </c>
      <c r="Q41" s="17"/>
      <c r="R41" s="17"/>
    </row>
    <row r="42" spans="1:18" ht="9.6" customHeight="1" outlineLevel="4" x14ac:dyDescent="0.2">
      <c r="A42" s="12" t="s">
        <v>40</v>
      </c>
      <c r="B42" s="21"/>
      <c r="C42" s="21"/>
      <c r="D42" s="17">
        <f t="shared" si="0"/>
        <v>0</v>
      </c>
      <c r="E42" s="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f t="shared" si="4"/>
        <v>0</v>
      </c>
      <c r="Q42" s="17"/>
      <c r="R42" s="17"/>
    </row>
    <row r="43" spans="1:18" ht="9.6" customHeight="1" outlineLevel="4" x14ac:dyDescent="0.2">
      <c r="A43" s="14" t="s">
        <v>68</v>
      </c>
      <c r="B43" s="21"/>
      <c r="C43" s="21"/>
      <c r="D43" s="17">
        <f t="shared" si="0"/>
        <v>0</v>
      </c>
      <c r="E43" s="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f t="shared" si="4"/>
        <v>0</v>
      </c>
      <c r="Q43" s="17"/>
      <c r="R43" s="17"/>
    </row>
    <row r="44" spans="1:18" ht="9.6" customHeight="1" outlineLevel="4" x14ac:dyDescent="0.2">
      <c r="A44" s="14" t="s">
        <v>69</v>
      </c>
      <c r="B44" s="21"/>
      <c r="C44" s="21"/>
      <c r="D44" s="17">
        <f t="shared" si="0"/>
        <v>0</v>
      </c>
      <c r="E44" s="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>
        <f t="shared" si="4"/>
        <v>0</v>
      </c>
      <c r="Q44" s="17"/>
      <c r="R44" s="17"/>
    </row>
    <row r="45" spans="1:18" ht="9.6" customHeight="1" outlineLevel="4" x14ac:dyDescent="0.2">
      <c r="A45" s="12" t="s">
        <v>42</v>
      </c>
      <c r="B45" s="21"/>
      <c r="C45" s="21"/>
      <c r="D45" s="17">
        <f t="shared" si="0"/>
        <v>0</v>
      </c>
      <c r="E45" s="3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f t="shared" si="4"/>
        <v>0</v>
      </c>
      <c r="Q45" s="17"/>
      <c r="R45" s="17"/>
    </row>
    <row r="46" spans="1:18" ht="9.6" customHeight="1" outlineLevel="4" x14ac:dyDescent="0.2">
      <c r="A46" s="12" t="s">
        <v>41</v>
      </c>
      <c r="B46" s="21"/>
      <c r="C46" s="21"/>
      <c r="D46" s="20">
        <f t="shared" si="0"/>
        <v>342</v>
      </c>
      <c r="E46" s="3"/>
      <c r="F46" s="20">
        <v>238</v>
      </c>
      <c r="G46" s="20">
        <f>-35+139</f>
        <v>104</v>
      </c>
      <c r="H46" s="20"/>
      <c r="I46" s="20"/>
      <c r="J46" s="20"/>
      <c r="K46" s="20"/>
      <c r="L46" s="20"/>
      <c r="M46" s="20"/>
      <c r="N46" s="20"/>
      <c r="O46" s="20"/>
      <c r="P46" s="20">
        <f t="shared" si="4"/>
        <v>0</v>
      </c>
      <c r="Q46" s="20"/>
      <c r="R46" s="20"/>
    </row>
    <row r="47" spans="1:18" ht="12.95" customHeight="1" outlineLevel="3" x14ac:dyDescent="0.2">
      <c r="A47" s="7" t="s">
        <v>18</v>
      </c>
      <c r="B47" s="21"/>
      <c r="C47" s="21"/>
      <c r="D47" s="18">
        <f t="shared" si="0"/>
        <v>-22810</v>
      </c>
      <c r="E47" s="3"/>
      <c r="F47" s="18">
        <f>SUM(F39:F46)</f>
        <v>-43340</v>
      </c>
      <c r="G47" s="18">
        <f t="shared" ref="G47:R47" si="7">SUM(G39:G46)</f>
        <v>-4974</v>
      </c>
      <c r="H47" s="18">
        <f t="shared" si="7"/>
        <v>0</v>
      </c>
      <c r="I47" s="18">
        <f t="shared" si="7"/>
        <v>0</v>
      </c>
      <c r="J47" s="18">
        <f t="shared" si="7"/>
        <v>25504</v>
      </c>
      <c r="K47" s="18">
        <f t="shared" si="7"/>
        <v>0</v>
      </c>
      <c r="L47" s="18">
        <f t="shared" si="7"/>
        <v>0</v>
      </c>
      <c r="M47" s="18">
        <f t="shared" si="7"/>
        <v>0</v>
      </c>
      <c r="N47" s="18">
        <f t="shared" si="7"/>
        <v>0</v>
      </c>
      <c r="O47" s="18">
        <f t="shared" si="7"/>
        <v>0</v>
      </c>
      <c r="P47" s="18">
        <f t="shared" si="4"/>
        <v>0</v>
      </c>
      <c r="Q47" s="18">
        <f t="shared" si="7"/>
        <v>0</v>
      </c>
      <c r="R47" s="18">
        <f t="shared" si="7"/>
        <v>0</v>
      </c>
    </row>
    <row r="48" spans="1:18" ht="9" customHeight="1" outlineLevel="3" x14ac:dyDescent="0.2">
      <c r="B48" s="21"/>
      <c r="C48" s="21"/>
      <c r="D48" s="2">
        <f t="shared" si="0"/>
        <v>0</v>
      </c>
      <c r="E48" s="3"/>
      <c r="P48" s="2">
        <f t="shared" si="4"/>
        <v>0</v>
      </c>
    </row>
    <row r="49" spans="1:19" ht="9" customHeight="1" outlineLevel="3" x14ac:dyDescent="0.2">
      <c r="A49" s="19" t="s">
        <v>43</v>
      </c>
      <c r="B49" s="21"/>
      <c r="C49" s="21"/>
      <c r="D49" s="2">
        <f t="shared" si="0"/>
        <v>0</v>
      </c>
      <c r="E49" s="3"/>
      <c r="P49" s="2">
        <f t="shared" si="4"/>
        <v>0</v>
      </c>
    </row>
    <row r="50" spans="1:19" ht="9.6" customHeight="1" outlineLevel="4" x14ac:dyDescent="0.2">
      <c r="A50" s="12" t="s">
        <v>44</v>
      </c>
      <c r="B50" s="21"/>
      <c r="C50" s="21"/>
      <c r="D50" s="13">
        <f t="shared" si="0"/>
        <v>0</v>
      </c>
      <c r="E50" s="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f t="shared" si="4"/>
        <v>0</v>
      </c>
      <c r="Q50" s="13"/>
      <c r="R50" s="13"/>
    </row>
    <row r="51" spans="1:19" ht="9.6" customHeight="1" outlineLevel="4" x14ac:dyDescent="0.2">
      <c r="A51" s="12" t="s">
        <v>45</v>
      </c>
      <c r="B51" s="21"/>
      <c r="C51" s="21"/>
      <c r="D51" s="13">
        <f t="shared" si="0"/>
        <v>20</v>
      </c>
      <c r="E51" s="3"/>
      <c r="F51" s="13">
        <v>20</v>
      </c>
      <c r="G51" s="13"/>
      <c r="H51" s="13"/>
      <c r="I51" s="13"/>
      <c r="J51" s="13"/>
      <c r="K51" s="13"/>
      <c r="L51" s="13"/>
      <c r="M51" s="13"/>
      <c r="N51" s="13"/>
      <c r="O51" s="13"/>
      <c r="P51" s="13">
        <f t="shared" si="4"/>
        <v>0</v>
      </c>
      <c r="Q51" s="13"/>
      <c r="R51" s="13"/>
    </row>
    <row r="52" spans="1:19" ht="9.6" customHeight="1" outlineLevel="4" x14ac:dyDescent="0.2">
      <c r="A52" s="14" t="s">
        <v>76</v>
      </c>
      <c r="B52" s="21"/>
      <c r="C52" s="21"/>
      <c r="D52" s="13">
        <f t="shared" si="0"/>
        <v>-700</v>
      </c>
      <c r="E52" s="3"/>
      <c r="F52" s="13">
        <v>-700</v>
      </c>
      <c r="G52" s="13"/>
      <c r="H52" s="13"/>
      <c r="I52" s="13"/>
      <c r="J52" s="13"/>
      <c r="K52" s="13"/>
      <c r="L52" s="13"/>
      <c r="M52" s="13"/>
      <c r="N52" s="13"/>
      <c r="O52" s="13"/>
      <c r="P52" s="13">
        <f t="shared" si="4"/>
        <v>0</v>
      </c>
      <c r="Q52" s="13"/>
      <c r="R52" s="13"/>
    </row>
    <row r="53" spans="1:19" ht="9.6" customHeight="1" outlineLevel="4" x14ac:dyDescent="0.2">
      <c r="A53" s="12" t="s">
        <v>46</v>
      </c>
      <c r="B53" s="21"/>
      <c r="C53" s="21"/>
      <c r="D53" s="13">
        <f t="shared" si="0"/>
        <v>0</v>
      </c>
      <c r="E53" s="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>
        <f t="shared" si="4"/>
        <v>0</v>
      </c>
      <c r="Q53" s="13"/>
      <c r="R53" s="13"/>
    </row>
    <row r="54" spans="1:19" ht="9.6" customHeight="1" outlineLevel="4" x14ac:dyDescent="0.2">
      <c r="A54" s="12" t="s">
        <v>48</v>
      </c>
      <c r="B54" s="21"/>
      <c r="C54" s="21"/>
      <c r="D54" s="13">
        <f t="shared" si="0"/>
        <v>1500</v>
      </c>
      <c r="E54" s="3"/>
      <c r="F54" s="13">
        <f>23942</f>
        <v>23942</v>
      </c>
      <c r="G54" s="13"/>
      <c r="H54" s="13"/>
      <c r="I54" s="13"/>
      <c r="J54" s="13">
        <v>-22442</v>
      </c>
      <c r="K54" s="13"/>
      <c r="L54" s="13"/>
      <c r="M54" s="13"/>
      <c r="N54" s="13"/>
      <c r="O54" s="13"/>
      <c r="P54" s="13">
        <f t="shared" si="4"/>
        <v>0</v>
      </c>
      <c r="Q54" s="13"/>
      <c r="R54" s="13"/>
    </row>
    <row r="55" spans="1:19" ht="9.6" customHeight="1" outlineLevel="4" x14ac:dyDescent="0.2">
      <c r="A55" s="14" t="s">
        <v>77</v>
      </c>
      <c r="B55" s="21"/>
      <c r="C55" s="21"/>
      <c r="D55" s="30">
        <f t="shared" si="0"/>
        <v>-18552</v>
      </c>
      <c r="E55" s="3"/>
      <c r="F55" s="30"/>
      <c r="G55" s="30"/>
      <c r="H55" s="30"/>
      <c r="I55" s="30"/>
      <c r="J55" s="30"/>
      <c r="K55" s="30"/>
      <c r="L55" s="30"/>
      <c r="M55" s="30"/>
      <c r="N55" s="30">
        <f>-11-2491-16050</f>
        <v>-18552</v>
      </c>
      <c r="O55" s="30"/>
      <c r="P55" s="30">
        <f t="shared" si="4"/>
        <v>-18552</v>
      </c>
      <c r="Q55" s="30"/>
      <c r="R55" s="30"/>
    </row>
    <row r="56" spans="1:19" ht="14.1" customHeight="1" outlineLevel="3" x14ac:dyDescent="0.2">
      <c r="A56" s="7" t="s">
        <v>19</v>
      </c>
      <c r="B56" s="21"/>
      <c r="C56" s="21"/>
      <c r="D56" s="28">
        <f t="shared" si="0"/>
        <v>-17732</v>
      </c>
      <c r="E56" s="3"/>
      <c r="F56" s="28">
        <f>SUM(F50:F55)</f>
        <v>23262</v>
      </c>
      <c r="G56" s="28">
        <f t="shared" ref="G56:R56" si="8">SUM(G50:G55)</f>
        <v>0</v>
      </c>
      <c r="H56" s="28">
        <f t="shared" si="8"/>
        <v>0</v>
      </c>
      <c r="I56" s="28">
        <f t="shared" si="8"/>
        <v>0</v>
      </c>
      <c r="J56" s="28">
        <f t="shared" si="8"/>
        <v>-22442</v>
      </c>
      <c r="K56" s="28">
        <f t="shared" si="8"/>
        <v>0</v>
      </c>
      <c r="L56" s="28">
        <f t="shared" si="8"/>
        <v>0</v>
      </c>
      <c r="M56" s="28">
        <f t="shared" si="8"/>
        <v>0</v>
      </c>
      <c r="N56" s="28">
        <f t="shared" si="8"/>
        <v>-18552</v>
      </c>
      <c r="O56" s="28">
        <f t="shared" si="8"/>
        <v>0</v>
      </c>
      <c r="P56" s="28">
        <f t="shared" si="4"/>
        <v>-18552</v>
      </c>
      <c r="Q56" s="28">
        <f t="shared" si="8"/>
        <v>0</v>
      </c>
      <c r="R56" s="28">
        <f t="shared" si="8"/>
        <v>0</v>
      </c>
    </row>
    <row r="57" spans="1:19" ht="16.5" customHeight="1" outlineLevel="2" x14ac:dyDescent="0.2">
      <c r="A57" s="12" t="s">
        <v>25</v>
      </c>
      <c r="B57" s="21"/>
      <c r="C57" s="21"/>
      <c r="D57" s="8">
        <f t="shared" si="0"/>
        <v>46522</v>
      </c>
      <c r="E57" s="3"/>
      <c r="F57" s="8">
        <f>F36+F47+F56</f>
        <v>44280</v>
      </c>
      <c r="G57" s="8">
        <f t="shared" ref="G57:R57" si="9">G36+G47+G56</f>
        <v>10590</v>
      </c>
      <c r="H57" s="8">
        <f t="shared" si="9"/>
        <v>14</v>
      </c>
      <c r="I57" s="8">
        <f t="shared" si="9"/>
        <v>1515</v>
      </c>
      <c r="J57" s="8">
        <f t="shared" si="9"/>
        <v>-7786</v>
      </c>
      <c r="K57" s="8">
        <f t="shared" si="9"/>
        <v>-79</v>
      </c>
      <c r="L57" s="8">
        <f t="shared" si="9"/>
        <v>725</v>
      </c>
      <c r="M57" s="8">
        <f t="shared" si="9"/>
        <v>-314</v>
      </c>
      <c r="N57" s="8">
        <f t="shared" si="9"/>
        <v>-93099</v>
      </c>
      <c r="O57" s="8">
        <f t="shared" si="9"/>
        <v>74249</v>
      </c>
      <c r="P57" s="8">
        <f t="shared" si="4"/>
        <v>-18850</v>
      </c>
      <c r="Q57" s="8">
        <f t="shared" si="9"/>
        <v>16554</v>
      </c>
      <c r="R57" s="8">
        <f t="shared" si="9"/>
        <v>-127</v>
      </c>
      <c r="S57" s="2">
        <f>SUM(F57:R57)</f>
        <v>27672</v>
      </c>
    </row>
    <row r="58" spans="1:19" ht="15.6" customHeight="1" outlineLevel="2" x14ac:dyDescent="0.2">
      <c r="A58" s="12" t="s">
        <v>26</v>
      </c>
      <c r="B58" s="21"/>
      <c r="C58" s="21"/>
      <c r="D58" s="27">
        <f t="shared" si="0"/>
        <v>126</v>
      </c>
      <c r="E58" s="3"/>
      <c r="F58" s="27">
        <v>0</v>
      </c>
      <c r="G58" s="27">
        <v>0</v>
      </c>
      <c r="H58" s="27">
        <v>0</v>
      </c>
      <c r="I58" s="27">
        <v>126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f t="shared" si="4"/>
        <v>0</v>
      </c>
      <c r="Q58" s="27">
        <v>0</v>
      </c>
      <c r="R58" s="27">
        <v>0</v>
      </c>
      <c r="S58" s="2">
        <f>SUM(F58:R58)</f>
        <v>126</v>
      </c>
    </row>
    <row r="59" spans="1:19" ht="17.25" customHeight="1" outlineLevel="1" thickBot="1" x14ac:dyDescent="0.25">
      <c r="A59" s="12" t="s">
        <v>27</v>
      </c>
      <c r="B59" s="21"/>
      <c r="C59" s="21"/>
      <c r="D59" s="22">
        <f t="shared" si="0"/>
        <v>46396</v>
      </c>
      <c r="E59" s="3"/>
      <c r="F59" s="22">
        <f>F57-F58</f>
        <v>44280</v>
      </c>
      <c r="G59" s="22">
        <f t="shared" ref="G59:R59" si="10">G57-G58</f>
        <v>10590</v>
      </c>
      <c r="H59" s="22">
        <f t="shared" si="10"/>
        <v>14</v>
      </c>
      <c r="I59" s="22">
        <f t="shared" si="10"/>
        <v>1389</v>
      </c>
      <c r="J59" s="22">
        <f t="shared" si="10"/>
        <v>-7786</v>
      </c>
      <c r="K59" s="22">
        <f t="shared" si="10"/>
        <v>-79</v>
      </c>
      <c r="L59" s="22">
        <f t="shared" si="10"/>
        <v>725</v>
      </c>
      <c r="M59" s="22">
        <f t="shared" si="10"/>
        <v>-314</v>
      </c>
      <c r="N59" s="22">
        <f t="shared" si="10"/>
        <v>-93099</v>
      </c>
      <c r="O59" s="22">
        <f t="shared" si="10"/>
        <v>74249</v>
      </c>
      <c r="P59" s="22">
        <f t="shared" si="4"/>
        <v>-18850</v>
      </c>
      <c r="Q59" s="22">
        <f t="shared" si="10"/>
        <v>16554</v>
      </c>
      <c r="R59" s="22">
        <f t="shared" si="10"/>
        <v>-127</v>
      </c>
      <c r="S59" s="2">
        <f>SUM(F59:R59)</f>
        <v>27546</v>
      </c>
    </row>
    <row r="60" spans="1:19" ht="6.75" customHeight="1" outlineLevel="1" thickTop="1" x14ac:dyDescent="0.2">
      <c r="B60" s="25"/>
      <c r="C60" s="25"/>
      <c r="D60" s="2">
        <f t="shared" si="0"/>
        <v>0</v>
      </c>
      <c r="E60" s="3"/>
      <c r="P60" s="2">
        <f t="shared" si="4"/>
        <v>0</v>
      </c>
    </row>
    <row r="61" spans="1:19" x14ac:dyDescent="0.2">
      <c r="B61" s="29"/>
      <c r="C61" s="25"/>
      <c r="D61" s="23">
        <f t="shared" si="0"/>
        <v>0</v>
      </c>
      <c r="E61" s="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>
        <f t="shared" si="4"/>
        <v>0</v>
      </c>
      <c r="Q61" s="23"/>
      <c r="R61" s="23"/>
    </row>
    <row r="62" spans="1:19" x14ac:dyDescent="0.2">
      <c r="A62" s="24" t="s">
        <v>51</v>
      </c>
      <c r="B62" s="25"/>
      <c r="C62" s="25"/>
      <c r="D62" s="27">
        <f t="shared" si="0"/>
        <v>-20</v>
      </c>
      <c r="E62" s="3"/>
      <c r="F62" s="27">
        <v>-20</v>
      </c>
      <c r="G62" s="27">
        <v>0</v>
      </c>
      <c r="H62" s="27">
        <v>0</v>
      </c>
      <c r="I62" s="27">
        <v>0</v>
      </c>
      <c r="J62" s="27">
        <v>0</v>
      </c>
      <c r="K62" s="27">
        <v>234</v>
      </c>
      <c r="L62" s="27">
        <v>-704</v>
      </c>
      <c r="M62" s="27">
        <v>470</v>
      </c>
      <c r="N62" s="27">
        <v>0</v>
      </c>
      <c r="O62" s="27">
        <v>0</v>
      </c>
      <c r="P62" s="27">
        <f t="shared" si="4"/>
        <v>0</v>
      </c>
      <c r="Q62" s="27">
        <v>0</v>
      </c>
      <c r="R62" s="27">
        <v>0</v>
      </c>
    </row>
    <row r="63" spans="1:19" x14ac:dyDescent="0.2">
      <c r="B63" s="25"/>
      <c r="C63" s="25"/>
      <c r="D63" s="2">
        <f t="shared" si="0"/>
        <v>0</v>
      </c>
      <c r="E63" s="3"/>
      <c r="P63" s="2">
        <f t="shared" si="4"/>
        <v>0</v>
      </c>
    </row>
    <row r="64" spans="1:19" ht="12" thickBot="1" x14ac:dyDescent="0.25">
      <c r="A64" s="24" t="s">
        <v>50</v>
      </c>
      <c r="B64" s="25"/>
      <c r="C64" s="25"/>
      <c r="D64" s="22">
        <f t="shared" si="0"/>
        <v>46376</v>
      </c>
      <c r="E64" s="3"/>
      <c r="F64" s="22">
        <f>F59+F62</f>
        <v>44260</v>
      </c>
      <c r="G64" s="22">
        <f>G59+G62</f>
        <v>10590</v>
      </c>
      <c r="H64" s="22">
        <f t="shared" ref="H64:R64" si="11">H59+H62</f>
        <v>14</v>
      </c>
      <c r="I64" s="22">
        <f t="shared" si="11"/>
        <v>1389</v>
      </c>
      <c r="J64" s="22">
        <f t="shared" si="11"/>
        <v>-7786</v>
      </c>
      <c r="K64" s="22">
        <f t="shared" si="11"/>
        <v>155</v>
      </c>
      <c r="L64" s="22">
        <f t="shared" si="11"/>
        <v>21</v>
      </c>
      <c r="M64" s="22">
        <f t="shared" si="11"/>
        <v>156</v>
      </c>
      <c r="N64" s="22">
        <f t="shared" si="11"/>
        <v>-93099</v>
      </c>
      <c r="O64" s="22">
        <f t="shared" si="11"/>
        <v>74249</v>
      </c>
      <c r="P64" s="22">
        <f t="shared" si="4"/>
        <v>-18850</v>
      </c>
      <c r="Q64" s="22">
        <f t="shared" si="11"/>
        <v>16554</v>
      </c>
      <c r="R64" s="22">
        <f t="shared" si="11"/>
        <v>-127</v>
      </c>
    </row>
    <row r="65" spans="1:18" ht="2.25" customHeight="1" thickTop="1" x14ac:dyDescent="0.2">
      <c r="B65" s="25"/>
      <c r="C65" s="25"/>
      <c r="D65" s="2">
        <f t="shared" si="0"/>
        <v>0</v>
      </c>
      <c r="E65" s="3"/>
      <c r="P65" s="2">
        <f t="shared" si="4"/>
        <v>0</v>
      </c>
    </row>
    <row r="66" spans="1:18" x14ac:dyDescent="0.2">
      <c r="A66" s="24" t="s">
        <v>97</v>
      </c>
      <c r="B66" s="25"/>
      <c r="C66" s="25"/>
      <c r="D66" s="2">
        <f t="shared" si="0"/>
        <v>46396</v>
      </c>
      <c r="E66" s="3"/>
      <c r="F66" s="2">
        <v>44280</v>
      </c>
      <c r="G66" s="2">
        <v>10590</v>
      </c>
      <c r="H66" s="2">
        <v>-1773</v>
      </c>
      <c r="I66" s="2">
        <v>1389</v>
      </c>
      <c r="J66" s="2">
        <f>-7786</f>
        <v>-7786</v>
      </c>
      <c r="K66" s="2">
        <v>-79</v>
      </c>
      <c r="L66" s="2">
        <v>725</v>
      </c>
      <c r="M66" s="2">
        <v>-314</v>
      </c>
      <c r="N66" s="2">
        <v>-93099</v>
      </c>
      <c r="O66" s="2">
        <v>74249</v>
      </c>
      <c r="P66" s="2">
        <f t="shared" si="4"/>
        <v>-18850</v>
      </c>
      <c r="Q66" s="2">
        <v>18341</v>
      </c>
      <c r="R66" s="2">
        <v>-127</v>
      </c>
    </row>
    <row r="67" spans="1:18" x14ac:dyDescent="0.2">
      <c r="D67" s="2">
        <f>D59-D66</f>
        <v>0</v>
      </c>
      <c r="F67" s="2">
        <f t="shared" ref="F67:R67" si="12">F59-F66</f>
        <v>0</v>
      </c>
      <c r="G67" s="2">
        <f t="shared" si="12"/>
        <v>0</v>
      </c>
      <c r="H67" s="2">
        <f t="shared" si="12"/>
        <v>1787</v>
      </c>
      <c r="I67" s="2">
        <f t="shared" si="12"/>
        <v>0</v>
      </c>
      <c r="J67" s="2">
        <f t="shared" si="12"/>
        <v>0</v>
      </c>
      <c r="K67" s="2">
        <f t="shared" si="12"/>
        <v>0</v>
      </c>
      <c r="L67" s="2">
        <f t="shared" si="12"/>
        <v>0</v>
      </c>
      <c r="M67" s="2">
        <f t="shared" si="12"/>
        <v>0</v>
      </c>
      <c r="N67" s="2">
        <f t="shared" si="12"/>
        <v>0</v>
      </c>
      <c r="O67" s="2">
        <f t="shared" si="12"/>
        <v>0</v>
      </c>
      <c r="P67" s="2">
        <f t="shared" si="4"/>
        <v>0</v>
      </c>
      <c r="Q67" s="2">
        <f t="shared" si="12"/>
        <v>-1787</v>
      </c>
      <c r="R67" s="2">
        <f t="shared" si="12"/>
        <v>0</v>
      </c>
    </row>
    <row r="69" spans="1:18" x14ac:dyDescent="0.2">
      <c r="D69" s="2">
        <v>45433</v>
      </c>
      <c r="E69" s="3"/>
      <c r="F69" s="40" t="s">
        <v>71</v>
      </c>
    </row>
    <row r="70" spans="1:18" x14ac:dyDescent="0.2">
      <c r="D70" s="2">
        <f>D59</f>
        <v>46396</v>
      </c>
      <c r="E70" s="3"/>
      <c r="F70" s="24" t="s">
        <v>96</v>
      </c>
    </row>
    <row r="71" spans="1:18" x14ac:dyDescent="0.2">
      <c r="D71" s="2">
        <f>D69-D70</f>
        <v>-963</v>
      </c>
      <c r="E71" s="3"/>
      <c r="F71" s="24" t="s">
        <v>70</v>
      </c>
    </row>
    <row r="72" spans="1:18" x14ac:dyDescent="0.2">
      <c r="E72" s="3"/>
    </row>
    <row r="73" spans="1:18" x14ac:dyDescent="0.2">
      <c r="E73" s="3"/>
    </row>
    <row r="74" spans="1:18" x14ac:dyDescent="0.2">
      <c r="E74" s="3"/>
    </row>
    <row r="75" spans="1:18" x14ac:dyDescent="0.2">
      <c r="E75" s="3"/>
    </row>
    <row r="76" spans="1:18" x14ac:dyDescent="0.2">
      <c r="E76" s="3"/>
    </row>
    <row r="77" spans="1:18" x14ac:dyDescent="0.2">
      <c r="E77" s="3"/>
    </row>
    <row r="78" spans="1:18" x14ac:dyDescent="0.2">
      <c r="E78" s="3"/>
    </row>
    <row r="79" spans="1:18" x14ac:dyDescent="0.2">
      <c r="E79" s="3"/>
    </row>
  </sheetData>
  <pageMargins left="0.5" right="0.5" top="0.5" bottom="0.5" header="0.5" footer="0.5"/>
  <pageSetup scale="84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tabSelected="1" topLeftCell="D1" workbookViewId="0">
      <selection activeCell="S1" sqref="S1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2.1640625" style="48" customWidth="1"/>
    <col min="14" max="14" width="10.83203125" style="48" customWidth="1"/>
    <col min="15" max="15" width="3.6640625" style="48" customWidth="1"/>
    <col min="16" max="16" width="9.83203125" style="48" customWidth="1"/>
    <col min="17" max="16384" width="9" style="48"/>
  </cols>
  <sheetData>
    <row r="1" spans="1:16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">
      <c r="A3" s="52" t="s">
        <v>125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">
      <c r="A8" s="67" t="s">
        <v>28</v>
      </c>
      <c r="B8" s="63">
        <f>D8+P8</f>
        <v>28768.121000000032</v>
      </c>
      <c r="C8" s="63"/>
      <c r="D8" s="68">
        <f>SUM(E8:K8)+L8+M8+N8</f>
        <v>25723.556000000033</v>
      </c>
      <c r="E8" s="68">
        <f>+SEPTYTD!E8-'AUGYTD '!E8</f>
        <v>13377.118000000017</v>
      </c>
      <c r="F8" s="68">
        <f>+SEPTYTD!F8-'AUGYTD '!F8</f>
        <v>8104.2180000000226</v>
      </c>
      <c r="G8" s="68">
        <f>+SEPTYTD!G8-'AUGYTD '!G8</f>
        <v>4124.2669999999962</v>
      </c>
      <c r="H8" s="68">
        <f>+SEPTYTD!H8-'AUGYTD '!H8</f>
        <v>485.65500000000111</v>
      </c>
      <c r="I8" s="68">
        <f>+SEPTYTD!I8-'AUGYTD '!I8</f>
        <v>-15.179000000000002</v>
      </c>
      <c r="J8" s="68">
        <f>+SEPTYTD!J8-'AUGYTD '!J8</f>
        <v>397.53299999999984</v>
      </c>
      <c r="K8" s="68">
        <f>+SEPTYTD!K8-'AUGYTD '!K8</f>
        <v>72.485000000000042</v>
      </c>
      <c r="L8" s="68">
        <f>+SEPTYTD!L8-'AUGYTD '!O8</f>
        <v>-797.11800000000176</v>
      </c>
      <c r="M8" s="68">
        <f>+SEPTYTD!M8-'AUGYTD '!P8</f>
        <v>-288.04300000000001</v>
      </c>
      <c r="N8" s="68">
        <f>+SEPTYTD!N8-'AUGYTD '!Q8</f>
        <v>262.62</v>
      </c>
      <c r="P8" s="68">
        <f>+SEPTYTD!P8-'AUGYTD '!S8</f>
        <v>3044.5649999999996</v>
      </c>
    </row>
    <row r="9" spans="1:16" ht="12.75" customHeight="1" outlineLevel="4" x14ac:dyDescent="0.2">
      <c r="A9" s="62" t="s">
        <v>29</v>
      </c>
      <c r="B9" s="69">
        <f>D9+P9</f>
        <v>2775.7650000000008</v>
      </c>
      <c r="C9" s="63"/>
      <c r="D9" s="70">
        <f>SUM(E9:K9)+L9+M9+N9</f>
        <v>2765.2530000000006</v>
      </c>
      <c r="E9" s="70">
        <f>+SEPTYTD!E9-'AUGYTD '!E9</f>
        <v>-1202.1629999999968</v>
      </c>
      <c r="F9" s="70">
        <f>+SEPTYTD!F9-'AUGYTD '!F9</f>
        <v>6.2080000000005953</v>
      </c>
      <c r="G9" s="70">
        <f>+SEPTYTD!G9-'AUGYTD '!G9</f>
        <v>0</v>
      </c>
      <c r="H9" s="70">
        <f>+SEPTYTD!H9-'AUGYTD '!H9</f>
        <v>292.65700000000015</v>
      </c>
      <c r="I9" s="70">
        <f>+SEPTYTD!I9-'AUGYTD '!I9</f>
        <v>0</v>
      </c>
      <c r="J9" s="70">
        <f>+SEPTYTD!J9-'AUGYTD '!J9</f>
        <v>127.709</v>
      </c>
      <c r="K9" s="70">
        <f>+SEPTYTD!K9-'AUGYTD '!K9</f>
        <v>0</v>
      </c>
      <c r="L9" s="70">
        <f>+SEPTYTD!L9-'AUGYTD '!O9</f>
        <v>3540.8419999999969</v>
      </c>
      <c r="M9" s="70">
        <f>+SEPTYTD!M9-'AUGYTD '!P9</f>
        <v>0</v>
      </c>
      <c r="N9" s="70">
        <f>+SEPTYTD!N9-'AUGYTD '!Q9</f>
        <v>0</v>
      </c>
      <c r="P9" s="70">
        <f>+SEPTYTD!P9-'AUGYTD '!S9</f>
        <v>10.511999999999999</v>
      </c>
    </row>
    <row r="10" spans="1:16" ht="12.75" customHeight="1" outlineLevel="4" x14ac:dyDescent="0.2">
      <c r="A10" s="67" t="s">
        <v>49</v>
      </c>
      <c r="B10" s="71">
        <f>B8+B9</f>
        <v>31543.886000000031</v>
      </c>
      <c r="C10" s="63"/>
      <c r="D10" s="71">
        <f t="shared" ref="D10:K10" si="0">D8+D9</f>
        <v>28488.809000000034</v>
      </c>
      <c r="E10" s="71">
        <f t="shared" si="0"/>
        <v>12174.95500000002</v>
      </c>
      <c r="F10" s="71">
        <f t="shared" si="0"/>
        <v>8110.4260000000231</v>
      </c>
      <c r="G10" s="71">
        <f t="shared" si="0"/>
        <v>4124.2669999999962</v>
      </c>
      <c r="H10" s="71">
        <f t="shared" si="0"/>
        <v>778.31200000000126</v>
      </c>
      <c r="I10" s="71">
        <f t="shared" si="0"/>
        <v>-15.179000000000002</v>
      </c>
      <c r="J10" s="71">
        <f t="shared" si="0"/>
        <v>525.24199999999985</v>
      </c>
      <c r="K10" s="71">
        <f t="shared" si="0"/>
        <v>72.485000000000042</v>
      </c>
      <c r="L10" s="71">
        <f>L8+L9</f>
        <v>2743.7239999999952</v>
      </c>
      <c r="M10" s="71">
        <f>M8+M9</f>
        <v>-288.04300000000001</v>
      </c>
      <c r="N10" s="71">
        <f>N8+N9</f>
        <v>262.62</v>
      </c>
      <c r="P10" s="71">
        <f>P8+P9</f>
        <v>3055.0769999999998</v>
      </c>
    </row>
    <row r="11" spans="1:16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">
      <c r="A12" s="62" t="s">
        <v>5</v>
      </c>
      <c r="B12" s="63">
        <f t="shared" ref="B12:B18" si="1">D12+P12</f>
        <v>5559.3510000000024</v>
      </c>
      <c r="C12" s="63"/>
      <c r="D12" s="68">
        <f t="shared" ref="D12:D18" si="2">SUM(E12:K12)+L12+M12+N12</f>
        <v>5559.3510000000024</v>
      </c>
      <c r="E12" s="68">
        <f>+SEPTYTD!E12-'AUGYTD '!E12</f>
        <v>4001.6410000000033</v>
      </c>
      <c r="F12" s="68">
        <f>+SEPTYTD!F12-'AUGYTD '!F12</f>
        <v>1557.7099999999991</v>
      </c>
      <c r="G12" s="68">
        <f>+SEPTYTD!G12-'AUGYTD '!G12</f>
        <v>0</v>
      </c>
      <c r="H12" s="68">
        <f>+SEPTYTD!H12-'AUGYTD '!H12</f>
        <v>0</v>
      </c>
      <c r="I12" s="68">
        <f>+SEPTYTD!I12-'AUGYTD '!I12</f>
        <v>0</v>
      </c>
      <c r="J12" s="68">
        <f>+SEPTYTD!J12-'AUGYTD '!J12</f>
        <v>0</v>
      </c>
      <c r="K12" s="68">
        <f>+SEPTYTD!K12-'AUGYTD '!K12</f>
        <v>0</v>
      </c>
      <c r="L12" s="68">
        <f>+SEPTYTD!L12-'AUGYTD '!O12</f>
        <v>0</v>
      </c>
      <c r="M12" s="68">
        <f>+SEPTYTD!M12-'AUGYTD '!P12</f>
        <v>0</v>
      </c>
      <c r="N12" s="68">
        <f>+SEPTYTD!N12-'AUGYTD '!Q12</f>
        <v>0</v>
      </c>
      <c r="P12" s="68">
        <f>+SEPTYTD!P12-'AUGYTD '!S12</f>
        <v>0</v>
      </c>
    </row>
    <row r="13" spans="1:16" ht="12.75" customHeight="1" outlineLevel="4" x14ac:dyDescent="0.2">
      <c r="A13" s="62" t="s">
        <v>6</v>
      </c>
      <c r="B13" s="63">
        <f t="shared" si="1"/>
        <v>4276.7789999999995</v>
      </c>
      <c r="C13" s="63"/>
      <c r="D13" s="68">
        <f t="shared" si="2"/>
        <v>4276.78</v>
      </c>
      <c r="E13" s="68">
        <f>+SEPTYTD!E13-'AUGYTD '!E13</f>
        <v>4677.5709999999999</v>
      </c>
      <c r="F13" s="68">
        <f>+SEPTYTD!F13-'AUGYTD '!F13</f>
        <v>691.80199999999991</v>
      </c>
      <c r="G13" s="68">
        <f>+SEPTYTD!G13-'AUGYTD '!G13</f>
        <v>0</v>
      </c>
      <c r="H13" s="68">
        <f>+SEPTYTD!H13-'AUGYTD '!H13</f>
        <v>-41.98599999999999</v>
      </c>
      <c r="I13" s="68">
        <f>+SEPTYTD!I13-'AUGYTD '!I13</f>
        <v>0</v>
      </c>
      <c r="J13" s="68">
        <f>+SEPTYTD!J13-'AUGYTD '!J13</f>
        <v>0</v>
      </c>
      <c r="K13" s="68">
        <f>+SEPTYTD!K13-'AUGYTD '!K13</f>
        <v>-0.60700000000000021</v>
      </c>
      <c r="L13" s="68">
        <f>+SEPTYTD!L13-'AUGYTD '!O13</f>
        <v>-1050</v>
      </c>
      <c r="M13" s="68">
        <f>+SEPTYTD!M13-'AUGYTD '!P13</f>
        <v>0</v>
      </c>
      <c r="N13" s="68">
        <f>+SEPTYTD!N13-'AUGYTD '!Q13</f>
        <v>0</v>
      </c>
      <c r="P13" s="68">
        <f>+SEPTYTD!P13-'AUGYTD '!S13</f>
        <v>-9.9999999997635314E-4</v>
      </c>
    </row>
    <row r="14" spans="1:16" ht="12.75" customHeight="1" outlineLevel="4" x14ac:dyDescent="0.2">
      <c r="A14" s="67" t="s">
        <v>22</v>
      </c>
      <c r="B14" s="63">
        <f t="shared" si="1"/>
        <v>-968.49299999999994</v>
      </c>
      <c r="C14" s="63"/>
      <c r="D14" s="68">
        <f t="shared" si="2"/>
        <v>-968.49299999999994</v>
      </c>
      <c r="E14" s="68">
        <f>+SEPTYTD!E14-'AUGYTD '!E14</f>
        <v>-968.49299999999994</v>
      </c>
      <c r="F14" s="68">
        <f>+SEPTYTD!F14-'AUGYTD '!F14</f>
        <v>0</v>
      </c>
      <c r="G14" s="68">
        <f>+SEPTYTD!G14-'AUGYTD '!G14</f>
        <v>0</v>
      </c>
      <c r="H14" s="68">
        <f>+SEPTYTD!H14-'AUGYTD '!H14</f>
        <v>0</v>
      </c>
      <c r="I14" s="68">
        <f>+SEPTYTD!I14-'AUGYTD '!I14</f>
        <v>0</v>
      </c>
      <c r="J14" s="68">
        <f>+SEPTYTD!J14-'AUGYTD '!J14</f>
        <v>0</v>
      </c>
      <c r="K14" s="68">
        <f>+SEPTYTD!K14-'AUGYTD '!K14</f>
        <v>0</v>
      </c>
      <c r="L14" s="68">
        <f>+SEPTYTD!L14-'AUGYTD '!O14</f>
        <v>0</v>
      </c>
      <c r="M14" s="68">
        <f>+SEPTYTD!M14-'AUGYTD '!P14</f>
        <v>0</v>
      </c>
      <c r="N14" s="68">
        <f>+SEPTYTD!N14-'AUGYTD '!Q14</f>
        <v>0</v>
      </c>
      <c r="P14" s="68">
        <f>+SEPTYTD!P14-'AUGYTD '!S14</f>
        <v>0</v>
      </c>
    </row>
    <row r="15" spans="1:16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+SEPTYTD!E15-'AUGYTD '!E15</f>
        <v>0</v>
      </c>
      <c r="F15" s="68">
        <f>+SEPTYTD!F15-'AUGYTD '!F15</f>
        <v>0</v>
      </c>
      <c r="G15" s="68">
        <f>+SEPTYTD!G15-'AUGYTD '!G15</f>
        <v>0</v>
      </c>
      <c r="H15" s="68">
        <f>+SEPTYTD!H15-'AUGYTD '!H15</f>
        <v>0</v>
      </c>
      <c r="I15" s="68">
        <f>+SEPTYTD!I15-'AUGYTD '!I15</f>
        <v>0</v>
      </c>
      <c r="J15" s="68">
        <f>+SEPTYTD!J15-'AUGYTD '!J15</f>
        <v>0</v>
      </c>
      <c r="K15" s="68">
        <f>+SEPTYTD!K15-'AUGYTD '!K15</f>
        <v>0</v>
      </c>
      <c r="L15" s="68">
        <f>+SEPTYTD!L15-'AUGYTD '!O15</f>
        <v>0</v>
      </c>
      <c r="M15" s="68">
        <f>+SEPTYTD!M15-'AUGYTD '!P15</f>
        <v>0</v>
      </c>
      <c r="N15" s="68">
        <f>+SEPTYTD!N15-'AUGYTD '!Q15</f>
        <v>0</v>
      </c>
      <c r="P15" s="68">
        <f>+SEPTYTD!P15-'AUGYTD '!S15</f>
        <v>0</v>
      </c>
    </row>
    <row r="16" spans="1:16" ht="12.75" customHeight="1" outlineLevel="4" x14ac:dyDescent="0.2">
      <c r="A16" s="67" t="s">
        <v>38</v>
      </c>
      <c r="B16" s="63">
        <f t="shared" si="1"/>
        <v>-6586.6919999999955</v>
      </c>
      <c r="C16" s="63"/>
      <c r="D16" s="68">
        <f t="shared" si="2"/>
        <v>-5249.131999999996</v>
      </c>
      <c r="E16" s="68">
        <f>+SEPTYTD!E16-'AUGYTD '!E16</f>
        <v>-346.08799999999974</v>
      </c>
      <c r="F16" s="68">
        <f>+SEPTYTD!F16-'AUGYTD '!F16</f>
        <v>0</v>
      </c>
      <c r="G16" s="68">
        <f>+SEPTYTD!G16-'AUGYTD '!G16</f>
        <v>-4124.2669999999962</v>
      </c>
      <c r="H16" s="68">
        <f>+SEPTYTD!H16-'AUGYTD '!H16</f>
        <v>-778.77700000000004</v>
      </c>
      <c r="I16" s="68">
        <f>+SEPTYTD!I16-'AUGYTD '!I16</f>
        <v>0</v>
      </c>
      <c r="J16" s="68">
        <f>+SEPTYTD!J16-'AUGYTD '!J16</f>
        <v>0</v>
      </c>
      <c r="K16" s="68">
        <f>+SEPTYTD!K16-'AUGYTD '!K16</f>
        <v>0</v>
      </c>
      <c r="L16" s="68">
        <f>+SEPTYTD!L16-'AUGYTD '!O16</f>
        <v>0</v>
      </c>
      <c r="M16" s="68">
        <f>+SEPTYTD!M16-'AUGYTD '!P16</f>
        <v>0</v>
      </c>
      <c r="N16" s="68">
        <f>+SEPTYTD!N16-'AUGYTD '!Q16</f>
        <v>0</v>
      </c>
      <c r="P16" s="68">
        <f>+SEPTYTD!P16-'AUGYTD '!S16</f>
        <v>-1337.56</v>
      </c>
    </row>
    <row r="17" spans="1:16" ht="12.75" customHeight="1" outlineLevel="4" x14ac:dyDescent="0.2">
      <c r="A17" s="67" t="s">
        <v>39</v>
      </c>
      <c r="B17" s="63">
        <f t="shared" si="1"/>
        <v>800</v>
      </c>
      <c r="C17" s="63"/>
      <c r="D17" s="68">
        <f t="shared" si="2"/>
        <v>800</v>
      </c>
      <c r="E17" s="68">
        <f>+SEPTYTD!E17-'AUGYTD '!E17</f>
        <v>800</v>
      </c>
      <c r="F17" s="68">
        <f>+SEPTYTD!F17-'AUGYTD '!F17</f>
        <v>0</v>
      </c>
      <c r="G17" s="68">
        <f>+SEPTYTD!G17-'AUGYTD '!G17</f>
        <v>0</v>
      </c>
      <c r="H17" s="68">
        <f>+SEPTYTD!H17-'AUGYTD '!H17</f>
        <v>0</v>
      </c>
      <c r="I17" s="68">
        <f>+SEPTYTD!I17-'AUGYTD '!I17</f>
        <v>0</v>
      </c>
      <c r="J17" s="68">
        <f>+SEPTYTD!J17-'AUGYTD '!J17</f>
        <v>0</v>
      </c>
      <c r="K17" s="68">
        <f>+SEPTYTD!K17-'AUGYTD '!K17</f>
        <v>0</v>
      </c>
      <c r="L17" s="68">
        <f>+SEPTYTD!L17-'AUGYTD '!O17</f>
        <v>0</v>
      </c>
      <c r="M17" s="68">
        <f>+SEPTYTD!M17-'AUGYTD '!P17</f>
        <v>0</v>
      </c>
      <c r="N17" s="68">
        <f>+SEPTYTD!N17-'AUGYTD '!Q17</f>
        <v>0</v>
      </c>
      <c r="P17" s="68">
        <f>+SEPTYTD!P17-'AUGYTD '!S17</f>
        <v>0</v>
      </c>
    </row>
    <row r="18" spans="1:16" ht="12.75" customHeight="1" outlineLevel="4" x14ac:dyDescent="0.2">
      <c r="A18" s="67" t="s">
        <v>32</v>
      </c>
      <c r="B18" s="69">
        <f t="shared" si="1"/>
        <v>-26625</v>
      </c>
      <c r="C18" s="63"/>
      <c r="D18" s="68">
        <f t="shared" si="2"/>
        <v>-26372</v>
      </c>
      <c r="E18" s="68">
        <f>+SEPTYTD!E18-'AUGYTD '!E18</f>
        <v>-30791</v>
      </c>
      <c r="F18" s="68">
        <f>+SEPTYTD!F18-'AUGYTD '!F18</f>
        <v>374</v>
      </c>
      <c r="G18" s="68">
        <f>+SEPTYTD!G18-'AUGYTD '!G18</f>
        <v>0</v>
      </c>
      <c r="H18" s="68">
        <f>+SEPTYTD!H18-'AUGYTD '!H18</f>
        <v>-1</v>
      </c>
      <c r="I18" s="68">
        <f>+SEPTYTD!I18-'AUGYTD '!I18</f>
        <v>1</v>
      </c>
      <c r="J18" s="68">
        <f>+SEPTYTD!J18-'AUGYTD '!J18</f>
        <v>-119</v>
      </c>
      <c r="K18" s="68">
        <f>+SEPTYTD!K18-'AUGYTD '!K18</f>
        <v>-2</v>
      </c>
      <c r="L18" s="68">
        <f>+SEPTYTD!L18-'AUGYTD '!O18</f>
        <v>3182</v>
      </c>
      <c r="M18" s="68">
        <f>+SEPTYTD!M18-'AUGYTD '!P18</f>
        <v>1</v>
      </c>
      <c r="N18" s="68">
        <f>+SEPTYTD!N18-'AUGYTD '!Q18</f>
        <v>983</v>
      </c>
      <c r="P18" s="68">
        <f>+SEPTYTD!P18-'AUGYTD '!S18</f>
        <v>-253</v>
      </c>
    </row>
    <row r="19" spans="1:16" ht="12.75" customHeight="1" outlineLevel="4" x14ac:dyDescent="0.2">
      <c r="A19" s="62" t="s">
        <v>31</v>
      </c>
      <c r="B19" s="73">
        <f>SUM(B10:B18)</f>
        <v>7999.831000000042</v>
      </c>
      <c r="C19" s="63"/>
      <c r="D19" s="73">
        <f t="shared" ref="D19:N19" si="3">SUM(D10:D18)</f>
        <v>6535.3150000000314</v>
      </c>
      <c r="E19" s="73">
        <f t="shared" si="3"/>
        <v>-10451.413999999975</v>
      </c>
      <c r="F19" s="73">
        <f t="shared" si="3"/>
        <v>10733.938000000022</v>
      </c>
      <c r="G19" s="73">
        <f t="shared" si="3"/>
        <v>0</v>
      </c>
      <c r="H19" s="73">
        <f t="shared" si="3"/>
        <v>-43.450999999998771</v>
      </c>
      <c r="I19" s="73">
        <f t="shared" si="3"/>
        <v>-14.179000000000002</v>
      </c>
      <c r="J19" s="73">
        <f t="shared" si="3"/>
        <v>406.24199999999985</v>
      </c>
      <c r="K19" s="73">
        <f t="shared" si="3"/>
        <v>69.878000000000043</v>
      </c>
      <c r="L19" s="73">
        <f t="shared" si="3"/>
        <v>4875.7239999999947</v>
      </c>
      <c r="M19" s="73">
        <f t="shared" si="3"/>
        <v>-287.04300000000001</v>
      </c>
      <c r="N19" s="73">
        <f t="shared" si="3"/>
        <v>1245.6199999999999</v>
      </c>
      <c r="P19" s="73">
        <f>SUM(P10:P18)</f>
        <v>1464.5160000000001</v>
      </c>
    </row>
    <row r="20" spans="1:16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">
      <c r="A22" s="67" t="s">
        <v>8</v>
      </c>
      <c r="B22" s="63">
        <f t="shared" ref="B22:B30" si="4">D22+P22</f>
        <v>-12542</v>
      </c>
      <c r="C22" s="63"/>
      <c r="D22" s="68">
        <f t="shared" ref="D22:D30" si="5">SUM(E22:K22)+L22+M22+N22</f>
        <v>-12255</v>
      </c>
      <c r="E22" s="68">
        <f>+SEPTYTD!E22-'AUGYTD '!E22</f>
        <v>-8960</v>
      </c>
      <c r="F22" s="68">
        <f>+SEPTYTD!F22-'AUGYTD '!F22</f>
        <v>-718</v>
      </c>
      <c r="G22" s="68">
        <f>+SEPTYTD!G22-'AUGYTD '!G22</f>
        <v>0</v>
      </c>
      <c r="H22" s="68">
        <f>+SEPTYTD!H22-'AUGYTD '!H22</f>
        <v>4</v>
      </c>
      <c r="I22" s="68">
        <f>+SEPTYTD!I22-'AUGYTD '!I22</f>
        <v>4</v>
      </c>
      <c r="J22" s="68">
        <f>+SEPTYTD!J22-'AUGYTD '!J22</f>
        <v>99</v>
      </c>
      <c r="K22" s="68">
        <f>+SEPTYTD!K22-'AUGYTD '!K22</f>
        <v>4</v>
      </c>
      <c r="L22" s="68">
        <f>+SEPTYTD!L22-'AUGYTD '!O22</f>
        <v>-1136</v>
      </c>
      <c r="M22" s="68">
        <f>+SEPTYTD!M22-'AUGYTD '!P22</f>
        <v>0</v>
      </c>
      <c r="N22" s="68">
        <f>+SEPTYTD!N22-'AUGYTD '!Q22</f>
        <v>-1552</v>
      </c>
      <c r="P22" s="68">
        <f>+SEPTYTD!P22-'AUGYTD '!S22</f>
        <v>-287</v>
      </c>
    </row>
    <row r="23" spans="1:16" ht="12.75" customHeight="1" outlineLevel="4" x14ac:dyDescent="0.2">
      <c r="A23" s="67" t="s">
        <v>20</v>
      </c>
      <c r="B23" s="63">
        <f t="shared" si="4"/>
        <v>-7517</v>
      </c>
      <c r="C23" s="63"/>
      <c r="D23" s="68">
        <f t="shared" si="5"/>
        <v>-7517</v>
      </c>
      <c r="E23" s="68">
        <f>+SEPTYTD!E23-'AUGYTD '!E23</f>
        <v>13243</v>
      </c>
      <c r="F23" s="68">
        <f>+SEPTYTD!F23-'AUGYTD '!F23</f>
        <v>-34996</v>
      </c>
      <c r="G23" s="68">
        <f>+SEPTYTD!G23-'AUGYTD '!G23</f>
        <v>0</v>
      </c>
      <c r="H23" s="68">
        <f>+SEPTYTD!H23-'AUGYTD '!H23</f>
        <v>-2237</v>
      </c>
      <c r="I23" s="68">
        <f>+SEPTYTD!I23-'AUGYTD '!I23</f>
        <v>18</v>
      </c>
      <c r="J23" s="68">
        <f>+SEPTYTD!J23-'AUGYTD '!J23</f>
        <v>646</v>
      </c>
      <c r="K23" s="68">
        <f>+SEPTYTD!K23-'AUGYTD '!K23</f>
        <v>-17</v>
      </c>
      <c r="L23" s="68">
        <f>+SEPTYTD!L23-'AUGYTD '!O23</f>
        <v>-7549</v>
      </c>
      <c r="M23" s="68">
        <f>+SEPTYTD!M23-'AUGYTD '!P23</f>
        <v>23225</v>
      </c>
      <c r="N23" s="68">
        <f>+SEPTYTD!N23-'AUGYTD '!Q23</f>
        <v>150</v>
      </c>
      <c r="P23" s="68">
        <f>+SEPTYTD!P23-'AUGYTD '!S23</f>
        <v>0</v>
      </c>
    </row>
    <row r="24" spans="1:16" ht="12.75" customHeight="1" outlineLevel="4" x14ac:dyDescent="0.2">
      <c r="A24" s="67" t="s">
        <v>9</v>
      </c>
      <c r="B24" s="63">
        <f t="shared" si="4"/>
        <v>58</v>
      </c>
      <c r="C24" s="63"/>
      <c r="D24" s="68">
        <f t="shared" si="5"/>
        <v>58</v>
      </c>
      <c r="E24" s="68">
        <f>+SEPTYTD!E24-'AUGYTD '!E24</f>
        <v>54</v>
      </c>
      <c r="F24" s="68">
        <f>+SEPTYTD!F24-'AUGYTD '!F24</f>
        <v>6</v>
      </c>
      <c r="G24" s="68">
        <f>+SEPTYTD!G24-'AUGYTD '!G24</f>
        <v>0</v>
      </c>
      <c r="H24" s="68">
        <f>+SEPTYTD!H24-'AUGYTD '!H24</f>
        <v>0</v>
      </c>
      <c r="I24" s="68">
        <f>+SEPTYTD!I24-'AUGYTD '!I24</f>
        <v>-2</v>
      </c>
      <c r="J24" s="68">
        <f>+SEPTYTD!J24-'AUGYTD '!J24</f>
        <v>0</v>
      </c>
      <c r="K24" s="68">
        <f>+SEPTYTD!K24-'AUGYTD '!K24</f>
        <v>0</v>
      </c>
      <c r="L24" s="68">
        <f>+SEPTYTD!L24-'AUGYTD '!O24</f>
        <v>0</v>
      </c>
      <c r="M24" s="68">
        <f>+SEPTYTD!M24-'AUGYTD '!P24</f>
        <v>0</v>
      </c>
      <c r="N24" s="68">
        <f>+SEPTYTD!N24-'AUGYTD '!Q24</f>
        <v>0</v>
      </c>
      <c r="P24" s="68">
        <f>+SEPTYTD!P24-'AUGYTD '!S24</f>
        <v>0</v>
      </c>
    </row>
    <row r="25" spans="1:16" ht="12.75" customHeight="1" outlineLevel="4" x14ac:dyDescent="0.2">
      <c r="A25" s="67" t="s">
        <v>10</v>
      </c>
      <c r="B25" s="63">
        <f t="shared" si="4"/>
        <v>1</v>
      </c>
      <c r="C25" s="63"/>
      <c r="D25" s="68">
        <f t="shared" si="5"/>
        <v>1</v>
      </c>
      <c r="E25" s="68">
        <f>+SEPTYTD!E25-'AUGYTD '!E25</f>
        <v>0</v>
      </c>
      <c r="F25" s="68">
        <f>+SEPTYTD!F25-'AUGYTD '!F25</f>
        <v>1</v>
      </c>
      <c r="G25" s="68">
        <f>+SEPTYTD!G25-'AUGYTD '!G25</f>
        <v>0</v>
      </c>
      <c r="H25" s="68">
        <f>+SEPTYTD!H25-'AUGYTD '!H25</f>
        <v>0</v>
      </c>
      <c r="I25" s="68">
        <f>+SEPTYTD!I25-'AUGYTD '!I25</f>
        <v>0</v>
      </c>
      <c r="J25" s="68">
        <f>+SEPTYTD!J25-'AUGYTD '!J25</f>
        <v>0</v>
      </c>
      <c r="K25" s="68">
        <f>+SEPTYTD!K25-'AUGYTD '!K25</f>
        <v>0</v>
      </c>
      <c r="L25" s="68">
        <f>+SEPTYTD!L25-'AUGYTD '!O25</f>
        <v>0</v>
      </c>
      <c r="M25" s="68">
        <f>+SEPTYTD!M25-'AUGYTD '!P25</f>
        <v>0</v>
      </c>
      <c r="N25" s="68">
        <f>+SEPTYTD!N25-'AUGYTD '!Q25</f>
        <v>0</v>
      </c>
      <c r="P25" s="68">
        <f>+SEPTYTD!P25-'AUGYTD '!S25</f>
        <v>0</v>
      </c>
    </row>
    <row r="26" spans="1:16" ht="12.75" customHeight="1" outlineLevel="4" x14ac:dyDescent="0.2">
      <c r="A26" s="67" t="s">
        <v>11</v>
      </c>
      <c r="B26" s="63">
        <f t="shared" si="4"/>
        <v>25093</v>
      </c>
      <c r="C26" s="63"/>
      <c r="D26" s="68">
        <f t="shared" si="5"/>
        <v>25092</v>
      </c>
      <c r="E26" s="68">
        <f>+SEPTYTD!E26-'AUGYTD '!E26</f>
        <v>-3034</v>
      </c>
      <c r="F26" s="68">
        <f>+SEPTYTD!F26-'AUGYTD '!F26</f>
        <v>23807</v>
      </c>
      <c r="G26" s="68">
        <f>+SEPTYTD!G26-'AUGYTD '!G26</f>
        <v>0</v>
      </c>
      <c r="H26" s="68">
        <f>+SEPTYTD!H26-'AUGYTD '!H26</f>
        <v>1022</v>
      </c>
      <c r="I26" s="68">
        <f>+SEPTYTD!I26-'AUGYTD '!I26</f>
        <v>3</v>
      </c>
      <c r="J26" s="68">
        <f>+SEPTYTD!J26-'AUGYTD '!J26</f>
        <v>-12</v>
      </c>
      <c r="K26" s="68">
        <f>+SEPTYTD!K26-'AUGYTD '!K26</f>
        <v>-2</v>
      </c>
      <c r="L26" s="68">
        <f>+SEPTYTD!L26-'AUGYTD '!O26</f>
        <v>-513</v>
      </c>
      <c r="M26" s="68">
        <f>+SEPTYTD!M26-'AUGYTD '!P26</f>
        <v>3798</v>
      </c>
      <c r="N26" s="68">
        <f>+SEPTYTD!N26-'AUGYTD '!Q26</f>
        <v>23</v>
      </c>
      <c r="P26" s="68">
        <f>+SEPTYTD!P26-'AUGYTD '!S26</f>
        <v>1</v>
      </c>
    </row>
    <row r="27" spans="1:16" ht="12.75" customHeight="1" outlineLevel="4" x14ac:dyDescent="0.2">
      <c r="A27" s="62" t="s">
        <v>12</v>
      </c>
      <c r="B27" s="63">
        <f t="shared" si="4"/>
        <v>2947</v>
      </c>
      <c r="C27" s="63"/>
      <c r="D27" s="68">
        <f t="shared" si="5"/>
        <v>2947</v>
      </c>
      <c r="E27" s="68">
        <f>+SEPTYTD!E27-'AUGYTD '!E27</f>
        <v>2446</v>
      </c>
      <c r="F27" s="68">
        <f>+SEPTYTD!F27-'AUGYTD '!F27</f>
        <v>501</v>
      </c>
      <c r="G27" s="68">
        <f>+SEPTYTD!G27-'AUGYTD '!G27</f>
        <v>0</v>
      </c>
      <c r="H27" s="68">
        <f>+SEPTYTD!H27-'AUGYTD '!H27</f>
        <v>0</v>
      </c>
      <c r="I27" s="68">
        <f>+SEPTYTD!I27-'AUGYTD '!I27</f>
        <v>0</v>
      </c>
      <c r="J27" s="68">
        <f>+SEPTYTD!J27-'AUGYTD '!J27</f>
        <v>0</v>
      </c>
      <c r="K27" s="68">
        <f>+SEPTYTD!K27-'AUGYTD '!K27</f>
        <v>0</v>
      </c>
      <c r="L27" s="68">
        <f>+SEPTYTD!L27-'AUGYTD '!O27</f>
        <v>0</v>
      </c>
      <c r="M27" s="68">
        <f>+SEPTYTD!M27-'AUGYTD '!P27</f>
        <v>0</v>
      </c>
      <c r="N27" s="68">
        <f>+SEPTYTD!N27-'AUGYTD '!Q27</f>
        <v>0</v>
      </c>
      <c r="P27" s="68">
        <f>+SEPTYTD!P27-'AUGYTD '!S27</f>
        <v>0</v>
      </c>
    </row>
    <row r="28" spans="1:16" ht="12.75" customHeight="1" outlineLevel="4" x14ac:dyDescent="0.2">
      <c r="A28" s="67" t="s">
        <v>13</v>
      </c>
      <c r="B28" s="63">
        <f t="shared" si="4"/>
        <v>610</v>
      </c>
      <c r="C28" s="63"/>
      <c r="D28" s="68">
        <f t="shared" si="5"/>
        <v>611</v>
      </c>
      <c r="E28" s="68">
        <f>+SEPTYTD!E28-'AUGYTD '!E28</f>
        <v>-763</v>
      </c>
      <c r="F28" s="68">
        <f>+SEPTYTD!F28-'AUGYTD '!F28</f>
        <v>937</v>
      </c>
      <c r="G28" s="68">
        <f>+SEPTYTD!G28-'AUGYTD '!G28</f>
        <v>0</v>
      </c>
      <c r="H28" s="68">
        <f>+SEPTYTD!H28-'AUGYTD '!H28</f>
        <v>0</v>
      </c>
      <c r="I28" s="68">
        <f>+SEPTYTD!I28-'AUGYTD '!I28</f>
        <v>0</v>
      </c>
      <c r="J28" s="68">
        <f>+SEPTYTD!J28-'AUGYTD '!J28</f>
        <v>0</v>
      </c>
      <c r="K28" s="68">
        <f>+SEPTYTD!K28-'AUGYTD '!K28</f>
        <v>0</v>
      </c>
      <c r="L28" s="68">
        <f>+SEPTYTD!L28-'AUGYTD '!O28</f>
        <v>435</v>
      </c>
      <c r="M28" s="68">
        <f>+SEPTYTD!M28-'AUGYTD '!P28</f>
        <v>0</v>
      </c>
      <c r="N28" s="68">
        <f>+SEPTYTD!N28-'AUGYTD '!Q28</f>
        <v>2</v>
      </c>
      <c r="P28" s="68">
        <f>+SEPTYTD!P28-'AUGYTD '!S28</f>
        <v>-1</v>
      </c>
    </row>
    <row r="29" spans="1:16" ht="12.75" customHeight="1" outlineLevel="4" x14ac:dyDescent="0.2">
      <c r="A29" s="67" t="s">
        <v>14</v>
      </c>
      <c r="B29" s="63">
        <f t="shared" si="4"/>
        <v>-1114</v>
      </c>
      <c r="C29" s="63"/>
      <c r="D29" s="68">
        <f t="shared" si="5"/>
        <v>-1114</v>
      </c>
      <c r="E29" s="68">
        <f>+SEPTYTD!E29-'AUGYTD '!E29</f>
        <v>-2187</v>
      </c>
      <c r="F29" s="68">
        <f>+SEPTYTD!F29-'AUGYTD '!F29</f>
        <v>1073</v>
      </c>
      <c r="G29" s="68">
        <f>+SEPTYTD!G29-'AUGYTD '!G29</f>
        <v>0</v>
      </c>
      <c r="H29" s="68">
        <f>+SEPTYTD!H29-'AUGYTD '!H29</f>
        <v>0</v>
      </c>
      <c r="I29" s="68">
        <f>+SEPTYTD!I29-'AUGYTD '!I29</f>
        <v>0</v>
      </c>
      <c r="J29" s="68">
        <f>+SEPTYTD!J29-'AUGYTD '!J29</f>
        <v>0</v>
      </c>
      <c r="K29" s="68">
        <f>+SEPTYTD!K29-'AUGYTD '!K29</f>
        <v>0</v>
      </c>
      <c r="L29" s="68">
        <f>+SEPTYTD!L29-'AUGYTD '!O29</f>
        <v>0</v>
      </c>
      <c r="M29" s="68">
        <f>+SEPTYTD!M29-'AUGYTD '!P29</f>
        <v>0</v>
      </c>
      <c r="N29" s="68">
        <f>+SEPTYTD!N29-'AUGYTD '!Q29</f>
        <v>0</v>
      </c>
      <c r="P29" s="68">
        <f>+SEPTYTD!P29-'AUGYTD '!S29</f>
        <v>0</v>
      </c>
    </row>
    <row r="30" spans="1:16" ht="12.75" customHeight="1" outlineLevel="4" x14ac:dyDescent="0.2">
      <c r="A30" s="67" t="s">
        <v>30</v>
      </c>
      <c r="B30" s="69">
        <f t="shared" si="4"/>
        <v>-1003</v>
      </c>
      <c r="C30" s="63"/>
      <c r="D30" s="68">
        <f t="shared" si="5"/>
        <v>-1003</v>
      </c>
      <c r="E30" s="68">
        <f>+SEPTYTD!E30-'AUGYTD '!E30</f>
        <v>194</v>
      </c>
      <c r="F30" s="68">
        <f>+SEPTYTD!F30-'AUGYTD '!F30</f>
        <v>-896</v>
      </c>
      <c r="G30" s="68">
        <f>+SEPTYTD!G30-'AUGYTD '!G30</f>
        <v>0</v>
      </c>
      <c r="H30" s="68">
        <f>+SEPTYTD!H30-'AUGYTD '!H30</f>
        <v>-59</v>
      </c>
      <c r="I30" s="68">
        <f>+SEPTYTD!I30-'AUGYTD '!I30</f>
        <v>0</v>
      </c>
      <c r="J30" s="68">
        <f>+SEPTYTD!J30-'AUGYTD '!J30</f>
        <v>-685</v>
      </c>
      <c r="K30" s="68">
        <f>+SEPTYTD!K30-'AUGYTD '!K30</f>
        <v>0</v>
      </c>
      <c r="L30" s="68">
        <f>+SEPTYTD!L30-'AUGYTD '!O30</f>
        <v>392</v>
      </c>
      <c r="M30" s="68">
        <f>+SEPTYTD!M30-'AUGYTD '!P30</f>
        <v>0</v>
      </c>
      <c r="N30" s="68">
        <f>+SEPTYTD!N30-'AUGYTD '!Q30</f>
        <v>51</v>
      </c>
      <c r="P30" s="68">
        <f>+SEPTYTD!P30-'AUGYTD '!S30</f>
        <v>0</v>
      </c>
    </row>
    <row r="31" spans="1:16" ht="12.75" customHeight="1" outlineLevel="4" x14ac:dyDescent="0.2">
      <c r="A31" s="67" t="s">
        <v>33</v>
      </c>
      <c r="B31" s="84">
        <f>SUM(B21:B30)</f>
        <v>6533</v>
      </c>
      <c r="C31" s="74"/>
      <c r="D31" s="84">
        <f t="shared" ref="D31:N31" si="6">SUM(D21:D30)</f>
        <v>6820</v>
      </c>
      <c r="E31" s="84">
        <f t="shared" si="6"/>
        <v>993</v>
      </c>
      <c r="F31" s="84">
        <f t="shared" si="6"/>
        <v>-10285</v>
      </c>
      <c r="G31" s="84">
        <f t="shared" si="6"/>
        <v>0</v>
      </c>
      <c r="H31" s="84">
        <f t="shared" si="6"/>
        <v>-1270</v>
      </c>
      <c r="I31" s="84">
        <f t="shared" si="6"/>
        <v>23</v>
      </c>
      <c r="J31" s="84">
        <f t="shared" si="6"/>
        <v>48</v>
      </c>
      <c r="K31" s="84">
        <f t="shared" si="6"/>
        <v>-15</v>
      </c>
      <c r="L31" s="84">
        <f t="shared" si="6"/>
        <v>-8371</v>
      </c>
      <c r="M31" s="84">
        <f t="shared" si="6"/>
        <v>27023</v>
      </c>
      <c r="N31" s="84">
        <f t="shared" si="6"/>
        <v>-1326</v>
      </c>
      <c r="P31" s="84">
        <f>SUM(P21:P30)</f>
        <v>-287</v>
      </c>
    </row>
    <row r="32" spans="1:16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">
      <c r="A33" s="62" t="s">
        <v>15</v>
      </c>
      <c r="B33" s="75">
        <f>B19+B31</f>
        <v>14532.831000000042</v>
      </c>
      <c r="C33" s="63"/>
      <c r="D33" s="75">
        <f>D19+D31</f>
        <v>13355.315000000031</v>
      </c>
      <c r="E33" s="75">
        <f>E19+E31</f>
        <v>-9458.4139999999752</v>
      </c>
      <c r="F33" s="75">
        <f t="shared" ref="F33:K33" si="7">F19+F31</f>
        <v>448.93800000002193</v>
      </c>
      <c r="G33" s="75">
        <f t="shared" si="7"/>
        <v>0</v>
      </c>
      <c r="H33" s="75">
        <f t="shared" si="7"/>
        <v>-1313.4509999999987</v>
      </c>
      <c r="I33" s="75">
        <f t="shared" si="7"/>
        <v>8.820999999999998</v>
      </c>
      <c r="J33" s="75">
        <f t="shared" si="7"/>
        <v>454.24199999999985</v>
      </c>
      <c r="K33" s="75">
        <f t="shared" si="7"/>
        <v>54.878000000000043</v>
      </c>
      <c r="L33" s="75">
        <f>L19+L31</f>
        <v>-3495.2760000000053</v>
      </c>
      <c r="M33" s="75">
        <f>M19+M31</f>
        <v>26735.956999999999</v>
      </c>
      <c r="N33" s="75">
        <f>N19+N31</f>
        <v>-80.380000000000109</v>
      </c>
      <c r="P33" s="75">
        <f>P19+P31</f>
        <v>1177.5160000000001</v>
      </c>
    </row>
    <row r="34" spans="1:16" ht="12.75" customHeight="1" outlineLevel="3" x14ac:dyDescent="0.2">
      <c r="B34" s="63"/>
      <c r="C34" s="63"/>
    </row>
    <row r="35" spans="1:16" ht="12.75" customHeight="1" outlineLevel="3" x14ac:dyDescent="0.2">
      <c r="A35" s="66" t="s">
        <v>16</v>
      </c>
      <c r="B35" s="63"/>
      <c r="C35" s="63"/>
    </row>
    <row r="36" spans="1:16" ht="12.75" customHeight="1" outlineLevel="4" x14ac:dyDescent="0.2">
      <c r="A36" s="62" t="s">
        <v>24</v>
      </c>
      <c r="B36" s="63">
        <f t="shared" ref="B36:B41" si="8">D36+P36</f>
        <v>15</v>
      </c>
      <c r="C36" s="63"/>
      <c r="D36" s="68">
        <f t="shared" ref="D36:D41" si="9">SUM(E36:K36)+L36+M36+N36</f>
        <v>15</v>
      </c>
      <c r="E36" s="68">
        <f>+SEPTYTD!E36-'AUGYTD '!E36</f>
        <v>15</v>
      </c>
      <c r="F36" s="68">
        <f>+SEPTYTD!F36-'AUGYTD '!F36</f>
        <v>0</v>
      </c>
      <c r="G36" s="68">
        <f>+SEPTYTD!G36-'AUGYTD '!G36</f>
        <v>0</v>
      </c>
      <c r="H36" s="68">
        <f>+SEPTYTD!H36-'AUGYTD '!H36</f>
        <v>0</v>
      </c>
      <c r="I36" s="68">
        <f>+SEPTYTD!I36-'AUGYTD '!I36</f>
        <v>0</v>
      </c>
      <c r="J36" s="68">
        <f>+SEPTYTD!J36-'AUGYTD '!J36</f>
        <v>0</v>
      </c>
      <c r="K36" s="68">
        <f>+SEPTYTD!K36-'AUGYTD '!K36</f>
        <v>0</v>
      </c>
      <c r="L36" s="68">
        <f>+SEPTYTD!L36-'AUGYTD '!O36</f>
        <v>0</v>
      </c>
      <c r="M36" s="68">
        <f>+SEPTYTD!M36-'AUGYTD '!P36</f>
        <v>0</v>
      </c>
      <c r="N36" s="68">
        <f>+SEPTYTD!N36-'AUGYTD '!Q36</f>
        <v>0</v>
      </c>
      <c r="P36" s="68">
        <f>+SEPTYTD!P36-'AUGYTD '!S36</f>
        <v>0</v>
      </c>
    </row>
    <row r="37" spans="1:16" ht="12.75" customHeight="1" outlineLevel="4" x14ac:dyDescent="0.2">
      <c r="A37" s="62" t="s">
        <v>17</v>
      </c>
      <c r="B37" s="63">
        <f t="shared" si="8"/>
        <v>-13298</v>
      </c>
      <c r="C37" s="63"/>
      <c r="D37" s="68">
        <f t="shared" si="9"/>
        <v>-13298</v>
      </c>
      <c r="E37" s="68">
        <f>+SEPTYTD!E37-'AUGYTD '!E37</f>
        <v>-9498</v>
      </c>
      <c r="F37" s="68">
        <f>+SEPTYTD!F37-'AUGYTD '!F37</f>
        <v>-3800</v>
      </c>
      <c r="G37" s="68">
        <f>+SEPTYTD!G37-'AUGYTD '!G37</f>
        <v>0</v>
      </c>
      <c r="H37" s="68">
        <f>+SEPTYTD!H37-'AUGYTD '!H37</f>
        <v>0</v>
      </c>
      <c r="I37" s="68">
        <f>+SEPTYTD!I37-'AUGYTD '!I37</f>
        <v>0</v>
      </c>
      <c r="J37" s="68">
        <f>+SEPTYTD!J37-'AUGYTD '!J37</f>
        <v>0</v>
      </c>
      <c r="K37" s="68">
        <f>+SEPTYTD!K37-'AUGYTD '!K37</f>
        <v>0</v>
      </c>
      <c r="L37" s="68">
        <f>+SEPTYTD!L37-'AUGYTD '!O37</f>
        <v>0</v>
      </c>
      <c r="M37" s="68">
        <f>+SEPTYTD!M37-'AUGYTD '!P37</f>
        <v>0</v>
      </c>
      <c r="N37" s="68">
        <f>+SEPTYTD!N37-'AUGYTD '!Q37</f>
        <v>0</v>
      </c>
      <c r="P37" s="68">
        <f>+SEPTYTD!P37-'AUGYTD '!S37</f>
        <v>0</v>
      </c>
    </row>
    <row r="38" spans="1:16" ht="12.75" customHeight="1" outlineLevel="4" x14ac:dyDescent="0.2">
      <c r="A38" s="62" t="s">
        <v>104</v>
      </c>
      <c r="B38" s="63">
        <f t="shared" si="8"/>
        <v>10665</v>
      </c>
      <c r="C38" s="63"/>
      <c r="D38" s="68">
        <f t="shared" si="9"/>
        <v>10665</v>
      </c>
      <c r="E38" s="68">
        <f>+SEPTYTD!E38-'AUGYTD '!E38</f>
        <v>11276</v>
      </c>
      <c r="F38" s="68">
        <f>+SEPTYTD!F38-'AUGYTD '!F38</f>
        <v>-611</v>
      </c>
      <c r="G38" s="68">
        <f>+SEPTYTD!G38-'AUGYTD '!G38</f>
        <v>0</v>
      </c>
      <c r="H38" s="68">
        <f>+SEPTYTD!H38-'AUGYTD '!H38</f>
        <v>0</v>
      </c>
      <c r="I38" s="68">
        <f>+SEPTYTD!I38-'AUGYTD '!I38</f>
        <v>0</v>
      </c>
      <c r="J38" s="68">
        <f>+SEPTYTD!J38-'AUGYTD '!J38</f>
        <v>0</v>
      </c>
      <c r="K38" s="68">
        <f>+SEPTYTD!K38-'AUGYTD '!K38</f>
        <v>0</v>
      </c>
      <c r="L38" s="68">
        <f>+SEPTYTD!L38-'AUGYTD '!O38</f>
        <v>0</v>
      </c>
      <c r="M38" s="68">
        <f>+SEPTYTD!M38-'AUGYTD '!P38</f>
        <v>0</v>
      </c>
      <c r="N38" s="68">
        <f>+SEPTYTD!N38-'AUGYTD '!Q38</f>
        <v>0</v>
      </c>
      <c r="P38" s="68">
        <f>+SEPTYTD!P38-'AUGYTD '!S38</f>
        <v>0</v>
      </c>
    </row>
    <row r="39" spans="1:16" ht="12.75" customHeight="1" outlineLevel="4" x14ac:dyDescent="0.2">
      <c r="A39" s="62" t="s">
        <v>113</v>
      </c>
      <c r="B39" s="63">
        <f t="shared" si="8"/>
        <v>0</v>
      </c>
      <c r="C39" s="63"/>
      <c r="D39" s="68">
        <f t="shared" si="9"/>
        <v>0</v>
      </c>
      <c r="E39" s="68">
        <f>+SEPTYTD!E39-'AUGYTD '!E39</f>
        <v>0</v>
      </c>
      <c r="F39" s="68">
        <f>+SEPTYTD!F39-'AUGYTD '!F39</f>
        <v>0</v>
      </c>
      <c r="G39" s="68">
        <f>+SEPTYTD!G39-'AUGYTD '!G39</f>
        <v>0</v>
      </c>
      <c r="H39" s="68">
        <f>+SEPTYTD!H39-'AUGYTD '!H39</f>
        <v>0</v>
      </c>
      <c r="I39" s="68">
        <f>+SEPTYTD!I39-'AUGYTD '!I39</f>
        <v>0</v>
      </c>
      <c r="J39" s="68">
        <f>+SEPTYTD!J39-'AUGYTD '!J39</f>
        <v>0</v>
      </c>
      <c r="K39" s="68">
        <f>+SEPTYTD!K39-'AUGYTD '!K39</f>
        <v>0</v>
      </c>
      <c r="L39" s="68">
        <f>+SEPTYTD!L39-'AUGYTD '!O39</f>
        <v>0</v>
      </c>
      <c r="M39" s="68">
        <f>+SEPTYTD!M39-'AUGYTD '!P39</f>
        <v>0</v>
      </c>
      <c r="N39" s="68">
        <f>+SEPTYTD!N39-'AUGYTD '!Q39</f>
        <v>0</v>
      </c>
      <c r="P39" s="68">
        <f>+SEPTYTD!P39-'AUGYTD '!S39</f>
        <v>0</v>
      </c>
    </row>
    <row r="40" spans="1:16" ht="12.75" customHeight="1" outlineLevel="4" x14ac:dyDescent="0.2">
      <c r="A40" s="67" t="s">
        <v>42</v>
      </c>
      <c r="B40" s="63">
        <f t="shared" si="8"/>
        <v>0</v>
      </c>
      <c r="C40" s="63"/>
      <c r="D40" s="68">
        <f t="shared" si="9"/>
        <v>0</v>
      </c>
      <c r="E40" s="68">
        <f>+SEPTYTD!E40-'AUGYTD '!E40</f>
        <v>0</v>
      </c>
      <c r="F40" s="68">
        <f>+SEPTYTD!F40-'AUGYTD '!F40</f>
        <v>0</v>
      </c>
      <c r="G40" s="68">
        <f>+SEPTYTD!G40-'AUGYTD '!G40</f>
        <v>0</v>
      </c>
      <c r="H40" s="68">
        <f>+SEPTYTD!H40-'AUGYTD '!H40</f>
        <v>0</v>
      </c>
      <c r="I40" s="68">
        <f>+SEPTYTD!I40-'AUGYTD '!I40</f>
        <v>0</v>
      </c>
      <c r="J40" s="68">
        <f>+SEPTYTD!J40-'AUGYTD '!J40</f>
        <v>0</v>
      </c>
      <c r="K40" s="68">
        <f>+SEPTYTD!K40-'AUGYTD '!K40</f>
        <v>0</v>
      </c>
      <c r="L40" s="68">
        <f>+SEPTYTD!L40-'AUGYTD '!O40</f>
        <v>0</v>
      </c>
      <c r="M40" s="68">
        <f>+SEPTYTD!M40-'AUGYTD '!P40</f>
        <v>0</v>
      </c>
      <c r="N40" s="68">
        <f>+SEPTYTD!N40-'AUGYTD '!Q40</f>
        <v>0</v>
      </c>
      <c r="P40" s="68">
        <f>+SEPTYTD!P40-'AUGYTD '!S40</f>
        <v>0</v>
      </c>
    </row>
    <row r="41" spans="1:16" ht="12.75" customHeight="1" outlineLevel="4" x14ac:dyDescent="0.2">
      <c r="A41" s="67" t="s">
        <v>41</v>
      </c>
      <c r="B41" s="69">
        <f t="shared" si="8"/>
        <v>-55</v>
      </c>
      <c r="C41" s="63"/>
      <c r="D41" s="70">
        <f t="shared" si="9"/>
        <v>-55</v>
      </c>
      <c r="E41" s="70">
        <f>+SEPTYTD!E41-'AUGYTD '!E41</f>
        <v>-55</v>
      </c>
      <c r="F41" s="70">
        <f>+SEPTYTD!F41-'AUGYTD '!F41</f>
        <v>0</v>
      </c>
      <c r="G41" s="70">
        <f>+SEPTYTD!G41-'AUGYTD '!G41</f>
        <v>0</v>
      </c>
      <c r="H41" s="70">
        <f>+SEPTYTD!H41-'AUGYTD '!H41</f>
        <v>0</v>
      </c>
      <c r="I41" s="70">
        <f>+SEPTYTD!I41-'AUGYTD '!I41</f>
        <v>0</v>
      </c>
      <c r="J41" s="70">
        <f>+SEPTYTD!J41-'AUGYTD '!J41</f>
        <v>0</v>
      </c>
      <c r="K41" s="70">
        <f>+SEPTYTD!K41-'AUGYTD '!K41</f>
        <v>0</v>
      </c>
      <c r="L41" s="70">
        <f>+SEPTYTD!L41-'AUGYTD '!O41</f>
        <v>0</v>
      </c>
      <c r="M41" s="70">
        <f>+SEPTYTD!M41-'AUGYTD '!P41</f>
        <v>0</v>
      </c>
      <c r="N41" s="70">
        <f>+SEPTYTD!N41-'AUGYTD '!Q41</f>
        <v>0</v>
      </c>
      <c r="P41" s="70">
        <f>+SEPTYTD!P41-'AUGYTD '!S41</f>
        <v>0</v>
      </c>
    </row>
    <row r="42" spans="1:16" ht="12.75" customHeight="1" outlineLevel="3" x14ac:dyDescent="0.2">
      <c r="A42" s="62" t="s">
        <v>18</v>
      </c>
      <c r="B42" s="75">
        <f t="shared" ref="B42:N42" si="10">SUM(B36:B41)</f>
        <v>-2673</v>
      </c>
      <c r="C42" s="77">
        <f t="shared" si="10"/>
        <v>0</v>
      </c>
      <c r="D42" s="75">
        <f t="shared" si="10"/>
        <v>-2673</v>
      </c>
      <c r="E42" s="75">
        <f t="shared" si="10"/>
        <v>1738</v>
      </c>
      <c r="F42" s="75">
        <f t="shared" si="10"/>
        <v>-4411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>
        <f t="shared" si="10"/>
        <v>0</v>
      </c>
      <c r="P42" s="75">
        <f>SUM(P36:P41)</f>
        <v>0</v>
      </c>
    </row>
    <row r="43" spans="1:16" ht="12.75" customHeight="1" outlineLevel="3" x14ac:dyDescent="0.2">
      <c r="B43" s="63"/>
      <c r="C43" s="63"/>
    </row>
    <row r="44" spans="1:16" ht="12.75" customHeight="1" outlineLevel="3" x14ac:dyDescent="0.2">
      <c r="A44" s="78" t="s">
        <v>43</v>
      </c>
      <c r="B44" s="63"/>
      <c r="C44" s="63"/>
    </row>
    <row r="45" spans="1:16" ht="12.75" customHeight="1" outlineLevel="4" x14ac:dyDescent="0.2">
      <c r="A45" s="67" t="s">
        <v>44</v>
      </c>
      <c r="B45" s="63">
        <f>D45+P45</f>
        <v>0</v>
      </c>
      <c r="C45" s="63"/>
      <c r="D45" s="68">
        <f>SUM(E45:N45)</f>
        <v>0</v>
      </c>
      <c r="E45" s="68">
        <f>+SEPTYTD!E45-'AUGYTD '!E45</f>
        <v>0</v>
      </c>
      <c r="F45" s="68">
        <f>+SEPTYTD!F45-'AUGYTD '!F45</f>
        <v>0</v>
      </c>
      <c r="G45" s="68">
        <f>+SEPTYTD!G45-'AUGYTD '!G45</f>
        <v>0</v>
      </c>
      <c r="H45" s="68">
        <f>+SEPTYTD!H45-'AUGYTD '!H45</f>
        <v>0</v>
      </c>
      <c r="I45" s="68">
        <f>+SEPTYTD!I45-'AUGYTD '!I45</f>
        <v>0</v>
      </c>
      <c r="J45" s="68">
        <f>+SEPTYTD!J45-'AUGYTD '!J45</f>
        <v>0</v>
      </c>
      <c r="K45" s="68">
        <f>+SEPTYTD!K45-'AUGYTD '!K45</f>
        <v>0</v>
      </c>
      <c r="L45" s="68">
        <f>+SEPTYTD!L45-'AUGYTD '!O45</f>
        <v>0</v>
      </c>
      <c r="M45" s="68">
        <f>+SEPTYTD!M45-'AUGYTD '!P45</f>
        <v>0</v>
      </c>
      <c r="N45" s="68">
        <f>+SEPTYTD!N45-'AUGYTD '!Q45</f>
        <v>0</v>
      </c>
      <c r="P45" s="68">
        <f>+SEPTYTD!P45-'AUGYTD '!S45</f>
        <v>0</v>
      </c>
    </row>
    <row r="46" spans="1:16" ht="12.75" customHeight="1" outlineLevel="4" x14ac:dyDescent="0.2">
      <c r="A46" s="67" t="s">
        <v>45</v>
      </c>
      <c r="B46" s="63">
        <f>D46+P46</f>
        <v>0</v>
      </c>
      <c r="C46" s="63"/>
      <c r="D46" s="68">
        <f>SUM(E46:K46)+L46+M46+N46</f>
        <v>0</v>
      </c>
      <c r="E46" s="68">
        <f>+SEPTYTD!E46-'AUGYTD '!E46</f>
        <v>0</v>
      </c>
      <c r="F46" s="68">
        <f>+SEPTYTD!F46-'AUGYTD '!F46</f>
        <v>0</v>
      </c>
      <c r="G46" s="68">
        <f>+SEPTYTD!G46-'AUGYTD '!G46</f>
        <v>0</v>
      </c>
      <c r="H46" s="68">
        <f>+SEPTYTD!H46-'AUGYTD '!H46</f>
        <v>0</v>
      </c>
      <c r="I46" s="68">
        <f>+SEPTYTD!I46-'AUGYTD '!I46</f>
        <v>0</v>
      </c>
      <c r="J46" s="68">
        <f>+SEPTYTD!J46-'AUGYTD '!J46</f>
        <v>0</v>
      </c>
      <c r="K46" s="68">
        <f>+SEPTYTD!K46-'AUGYTD '!K46</f>
        <v>0</v>
      </c>
      <c r="L46" s="68">
        <f>+SEPTYTD!L46-'AUGYTD '!O46</f>
        <v>0</v>
      </c>
      <c r="M46" s="68">
        <f>+SEPTYTD!M46-'AUGYTD '!P46</f>
        <v>0</v>
      </c>
      <c r="N46" s="68">
        <f>+SEPTYTD!N46-'AUGYTD '!Q46</f>
        <v>0</v>
      </c>
      <c r="P46" s="68">
        <f>+SEPTYTD!P46-'AUGYTD '!S46</f>
        <v>0</v>
      </c>
    </row>
    <row r="47" spans="1:16" ht="12.75" customHeight="1" outlineLevel="4" x14ac:dyDescent="0.2">
      <c r="A47" s="67" t="s">
        <v>46</v>
      </c>
      <c r="B47" s="63">
        <f>D47+P47</f>
        <v>0</v>
      </c>
      <c r="C47" s="63"/>
      <c r="D47" s="68">
        <f>SUM(E47:N47)</f>
        <v>0</v>
      </c>
      <c r="E47" s="68">
        <f>+SEPTYTD!E47-'AUGYTD '!E47</f>
        <v>0</v>
      </c>
      <c r="F47" s="68">
        <f>+SEPTYTD!F47-'AUGYTD '!F47</f>
        <v>0</v>
      </c>
      <c r="G47" s="68">
        <f>+SEPTYTD!G47-'AUGYTD '!G47</f>
        <v>0</v>
      </c>
      <c r="H47" s="68">
        <f>+SEPTYTD!H47-'AUGYTD '!H47</f>
        <v>0</v>
      </c>
      <c r="I47" s="68">
        <f>+SEPTYTD!I47-'AUGYTD '!I47</f>
        <v>0</v>
      </c>
      <c r="J47" s="68">
        <f>+SEPTYTD!J47-'AUGYTD '!J47</f>
        <v>0</v>
      </c>
      <c r="K47" s="68">
        <f>+SEPTYTD!K47-'AUGYTD '!K47</f>
        <v>0</v>
      </c>
      <c r="L47" s="68">
        <f>+SEPTYTD!L47-'AUGYTD '!O47</f>
        <v>0</v>
      </c>
      <c r="M47" s="68">
        <f>+SEPTYTD!M47-'AUGYTD '!P47</f>
        <v>0</v>
      </c>
      <c r="N47" s="68">
        <f>+SEPTYTD!N47-'AUGYTD '!Q47</f>
        <v>0</v>
      </c>
      <c r="P47" s="68">
        <f>+SEPTYTD!P47-'AUGYTD '!S47</f>
        <v>0</v>
      </c>
    </row>
    <row r="48" spans="1:16" ht="12.75" customHeight="1" outlineLevel="4" x14ac:dyDescent="0.2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>
        <f>+SEPTYTD!E48-'AUGYTD '!E48</f>
        <v>0</v>
      </c>
      <c r="F48" s="68">
        <f>+SEPTYTD!F48-'AUGYTD '!F48</f>
        <v>0</v>
      </c>
      <c r="G48" s="68">
        <f>+SEPTYTD!G48-'AUGYTD '!G48</f>
        <v>0</v>
      </c>
      <c r="H48" s="68">
        <f>+SEPTYTD!H48-'AUGYTD '!H48</f>
        <v>0</v>
      </c>
      <c r="I48" s="68">
        <f>+SEPTYTD!I48-'AUGYTD '!I48</f>
        <v>0</v>
      </c>
      <c r="J48" s="68">
        <f>+SEPTYTD!J48-'AUGYTD '!J48</f>
        <v>0</v>
      </c>
      <c r="K48" s="68">
        <f>+SEPTYTD!K48-'AUGYTD '!K48</f>
        <v>0</v>
      </c>
      <c r="L48" s="68">
        <f>+SEPTYTD!L48-'AUGYTD '!O48</f>
        <v>0</v>
      </c>
      <c r="M48" s="68">
        <f>+SEPTYTD!M48-'AUGYTD '!P48</f>
        <v>0</v>
      </c>
      <c r="N48" s="68">
        <f>+SEPTYTD!N48-'AUGYTD '!Q48</f>
        <v>0</v>
      </c>
      <c r="P48" s="68">
        <f>+SEPTYTD!P48-'AUGYTD '!S48</f>
        <v>0</v>
      </c>
    </row>
    <row r="49" spans="1:16" ht="12.75" customHeight="1" outlineLevel="4" x14ac:dyDescent="0.2">
      <c r="A49" s="67" t="s">
        <v>47</v>
      </c>
      <c r="B49" s="63">
        <f>D49+P49</f>
        <v>0</v>
      </c>
      <c r="C49" s="63"/>
      <c r="D49" s="68">
        <f>SUM(E49:N49)</f>
        <v>0</v>
      </c>
      <c r="E49" s="68">
        <f>+SEPTYTD!E49-'AUGYTD '!E49</f>
        <v>0</v>
      </c>
      <c r="F49" s="68">
        <f>+SEPTYTD!F49-'AUGYTD '!F49</f>
        <v>0</v>
      </c>
      <c r="G49" s="68">
        <f>+SEPTYTD!G49-'AUGYTD '!G49</f>
        <v>0</v>
      </c>
      <c r="H49" s="68">
        <f>+SEPTYTD!H49-'AUGYTD '!H49</f>
        <v>0</v>
      </c>
      <c r="I49" s="68">
        <f>+SEPTYTD!I49-'AUGYTD '!I49</f>
        <v>0</v>
      </c>
      <c r="J49" s="68">
        <f>+SEPTYTD!J49-'AUGYTD '!J49</f>
        <v>0</v>
      </c>
      <c r="K49" s="68">
        <f>+SEPTYTD!K49-'AUGYTD '!K49</f>
        <v>0</v>
      </c>
      <c r="L49" s="68">
        <f>+SEPTYTD!L49-'AUGYTD '!O49</f>
        <v>0</v>
      </c>
      <c r="M49" s="68">
        <f>+SEPTYTD!M49-'AUGYTD '!P49</f>
        <v>0</v>
      </c>
      <c r="N49" s="68">
        <f>+SEPTYTD!N49-'AUGYTD '!Q49</f>
        <v>0</v>
      </c>
      <c r="P49" s="68">
        <f>+SEPTYTD!P49-'AUGYTD '!S49</f>
        <v>0</v>
      </c>
    </row>
    <row r="50" spans="1:16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N50" si="11">SUM(D45:D49)</f>
        <v>0</v>
      </c>
      <c r="E50" s="79">
        <f t="shared" si="11"/>
        <v>0</v>
      </c>
      <c r="F50" s="79">
        <f t="shared" si="11"/>
        <v>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>
        <f t="shared" si="11"/>
        <v>0</v>
      </c>
      <c r="P50" s="79">
        <f>SUM(P45:P49)</f>
        <v>0</v>
      </c>
    </row>
    <row r="51" spans="1:16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">
      <c r="A52" s="67" t="s">
        <v>25</v>
      </c>
      <c r="B52" s="77">
        <f>B33+B42+B50</f>
        <v>11859.831000000042</v>
      </c>
      <c r="C52" s="63"/>
      <c r="D52" s="77">
        <f>D33+D42+D50</f>
        <v>10682.315000000031</v>
      </c>
      <c r="E52" s="77">
        <f>E33+E42+E50</f>
        <v>-7720.4139999999752</v>
      </c>
      <c r="F52" s="77">
        <f t="shared" ref="F52:K52" si="12">F33+F42+F50</f>
        <v>-3962.0619999999781</v>
      </c>
      <c r="G52" s="77">
        <f t="shared" si="12"/>
        <v>0</v>
      </c>
      <c r="H52" s="77">
        <f t="shared" si="12"/>
        <v>-1313.4509999999987</v>
      </c>
      <c r="I52" s="77">
        <f t="shared" si="12"/>
        <v>8.820999999999998</v>
      </c>
      <c r="J52" s="77">
        <f t="shared" si="12"/>
        <v>454.24199999999985</v>
      </c>
      <c r="K52" s="77">
        <f t="shared" si="12"/>
        <v>54.878000000000043</v>
      </c>
      <c r="L52" s="77">
        <f>L33+L42+L50</f>
        <v>-3495.2760000000053</v>
      </c>
      <c r="M52" s="77">
        <f>M33+M42+M50</f>
        <v>26735.956999999999</v>
      </c>
      <c r="N52" s="77">
        <f>N33+N42+N50</f>
        <v>-80.380000000000109</v>
      </c>
      <c r="P52" s="77">
        <f>P33+P42+P50</f>
        <v>1177.5160000000001</v>
      </c>
    </row>
    <row r="53" spans="1:16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">
      <c r="A54" s="67" t="s">
        <v>26</v>
      </c>
      <c r="B54" s="69">
        <f>D54+P54</f>
        <v>-357</v>
      </c>
      <c r="C54" s="63"/>
      <c r="D54" s="70">
        <f>SUM(E54:K54)+L54+M54+N54</f>
        <v>-5</v>
      </c>
      <c r="E54" s="70">
        <f>+SEPTYTD!E54-'AUGYTD '!E54</f>
        <v>0</v>
      </c>
      <c r="F54" s="70">
        <f>+SEPTYTD!F54-'AUGYTD '!F54</f>
        <v>0</v>
      </c>
      <c r="G54" s="70">
        <f>+SEPTYTD!G54-'AUGYTD '!G54</f>
        <v>0</v>
      </c>
      <c r="H54" s="70">
        <f>+SEPTYTD!H54-'AUGYTD '!H54</f>
        <v>0</v>
      </c>
      <c r="I54" s="70">
        <f>+SEPTYTD!I54-'AUGYTD '!I54</f>
        <v>0</v>
      </c>
      <c r="J54" s="70">
        <f>+SEPTYTD!J54-'AUGYTD '!J54</f>
        <v>0</v>
      </c>
      <c r="K54" s="70">
        <f>+SEPTYTD!K54-'AUGYTD '!K54</f>
        <v>0</v>
      </c>
      <c r="L54" s="70">
        <f>+SEPTYTD!L54-'AUGYTD '!O54</f>
        <v>0</v>
      </c>
      <c r="M54" s="70">
        <f>+SEPTYTD!M54-'AUGYTD '!P54</f>
        <v>0</v>
      </c>
      <c r="N54" s="70">
        <f>+SEPTYTD!N54-'AUGYTD '!Q54</f>
        <v>-5</v>
      </c>
      <c r="P54" s="70">
        <f>+SEPTYTD!P54-'AUGYTD '!S54</f>
        <v>-352</v>
      </c>
    </row>
    <row r="55" spans="1:16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25">
      <c r="A56" s="67" t="s">
        <v>27</v>
      </c>
      <c r="B56" s="81">
        <f>B52-B54</f>
        <v>12216.831000000042</v>
      </c>
      <c r="C56" s="63"/>
      <c r="D56" s="81">
        <f>D52-D54</f>
        <v>10687.315000000031</v>
      </c>
      <c r="E56" s="81">
        <f>E52-E54</f>
        <v>-7720.4139999999752</v>
      </c>
      <c r="F56" s="81">
        <f t="shared" ref="F56:K56" si="13">F52-F54</f>
        <v>-3962.0619999999781</v>
      </c>
      <c r="G56" s="81">
        <f t="shared" si="13"/>
        <v>0</v>
      </c>
      <c r="H56" s="81">
        <f t="shared" si="13"/>
        <v>-1313.4509999999987</v>
      </c>
      <c r="I56" s="81">
        <f t="shared" si="13"/>
        <v>8.820999999999998</v>
      </c>
      <c r="J56" s="81">
        <f t="shared" si="13"/>
        <v>454.24199999999985</v>
      </c>
      <c r="K56" s="81">
        <f t="shared" si="13"/>
        <v>54.878000000000043</v>
      </c>
      <c r="L56" s="81">
        <f>L52-L54</f>
        <v>-3495.2760000000053</v>
      </c>
      <c r="M56" s="81">
        <f>M52-M54</f>
        <v>26735.956999999999</v>
      </c>
      <c r="N56" s="81">
        <f>N52-N54</f>
        <v>-75.380000000000109</v>
      </c>
      <c r="P56" s="81">
        <f>P52-P54</f>
        <v>1529.5160000000001</v>
      </c>
    </row>
    <row r="57" spans="1:16" ht="12.75" customHeight="1" outlineLevel="1" thickTop="1" x14ac:dyDescent="0.2">
      <c r="B57" s="46"/>
      <c r="C57" s="46"/>
    </row>
    <row r="58" spans="1:16" ht="12.75" customHeight="1" x14ac:dyDescent="0.2">
      <c r="A58" s="48" t="s">
        <v>51</v>
      </c>
      <c r="B58" s="70">
        <f>D58+P58</f>
        <v>-6</v>
      </c>
      <c r="C58" s="46"/>
      <c r="D58" s="70">
        <f>SUM(E58:N58)</f>
        <v>-6</v>
      </c>
      <c r="E58" s="70">
        <f>+SEPTYTD!E58-'AUGYTD '!E58</f>
        <v>-6</v>
      </c>
      <c r="F58" s="70">
        <f>+SEPTYTD!F58-'AUGYTD '!F58</f>
        <v>0</v>
      </c>
      <c r="G58" s="70">
        <f>+SEPTYTD!G58-'AUGYTD '!G58</f>
        <v>0</v>
      </c>
      <c r="H58" s="70">
        <f>+SEPTYTD!H58-'AUGYTD '!H58</f>
        <v>0</v>
      </c>
      <c r="I58" s="70">
        <f>+SEPTYTD!I58-'AUGYTD '!I58</f>
        <v>0</v>
      </c>
      <c r="J58" s="70">
        <f>+SEPTYTD!J58-'AUGYTD '!J58</f>
        <v>0</v>
      </c>
      <c r="K58" s="70">
        <f>+SEPTYTD!K58-'AUGYTD '!K58</f>
        <v>0</v>
      </c>
      <c r="L58" s="70">
        <f>+SEPTYTD!L58-'AUGYTD '!O58</f>
        <v>0</v>
      </c>
      <c r="M58" s="70">
        <f>+SEPTYTD!M58-'AUGYTD '!P58</f>
        <v>0</v>
      </c>
      <c r="N58" s="70">
        <f>+SEPTYTD!N58-'AUGYTD '!Q58</f>
        <v>0</v>
      </c>
      <c r="P58" s="70">
        <f>+SEPTYTD!P58-'AUGYTD '!S58</f>
        <v>0</v>
      </c>
    </row>
    <row r="59" spans="1:16" ht="12.75" customHeight="1" x14ac:dyDescent="0.2">
      <c r="B59" s="46"/>
      <c r="C59" s="46"/>
    </row>
    <row r="60" spans="1:16" ht="12.75" customHeight="1" thickBot="1" x14ac:dyDescent="0.25">
      <c r="A60" s="48" t="s">
        <v>50</v>
      </c>
      <c r="B60" s="81">
        <f>B56+B58</f>
        <v>12210.831000000042</v>
      </c>
      <c r="C60" s="46"/>
      <c r="D60" s="81">
        <f>D56+D58</f>
        <v>10681.315000000031</v>
      </c>
      <c r="E60" s="81">
        <f>E56+E58</f>
        <v>-7726.4139999999752</v>
      </c>
      <c r="F60" s="81">
        <f t="shared" ref="F60:K60" si="14">F56+F58</f>
        <v>-3962.0619999999781</v>
      </c>
      <c r="G60" s="81">
        <f t="shared" si="14"/>
        <v>0</v>
      </c>
      <c r="H60" s="81">
        <f t="shared" si="14"/>
        <v>-1313.4509999999987</v>
      </c>
      <c r="I60" s="81">
        <f t="shared" si="14"/>
        <v>8.820999999999998</v>
      </c>
      <c r="J60" s="81">
        <f t="shared" si="14"/>
        <v>454.24199999999985</v>
      </c>
      <c r="K60" s="81">
        <f t="shared" si="14"/>
        <v>54.878000000000043</v>
      </c>
      <c r="L60" s="81">
        <f>L56+L58</f>
        <v>-3495.2760000000053</v>
      </c>
      <c r="M60" s="81">
        <f>M56+M58</f>
        <v>26735.956999999999</v>
      </c>
      <c r="N60" s="81">
        <f>N56+N58</f>
        <v>-75.380000000000109</v>
      </c>
      <c r="P60" s="81">
        <f>P56+P58</f>
        <v>1529.5160000000001</v>
      </c>
    </row>
    <row r="61" spans="1:16" ht="12.75" customHeight="1" thickTop="1" x14ac:dyDescent="0.2">
      <c r="B61" s="46"/>
      <c r="C61" s="46"/>
    </row>
    <row r="62" spans="1:16" ht="12.75" customHeight="1" x14ac:dyDescent="0.2">
      <c r="B62" s="46"/>
      <c r="C62" s="46"/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24" header="0.5" footer="0.5"/>
  <pageSetup scale="6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topLeftCell="B4" workbookViewId="0">
      <selection activeCell="H35" sqref="H35"/>
    </sheetView>
  </sheetViews>
  <sheetFormatPr defaultColWidth="9" defaultRowHeight="12.75" outlineLevelRow="4" x14ac:dyDescent="0.2"/>
  <cols>
    <col min="1" max="1" width="61.8320312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3" width="12.1640625" style="48" customWidth="1"/>
    <col min="14" max="14" width="10.83203125" style="48" customWidth="1"/>
    <col min="15" max="15" width="3.6640625" style="48" customWidth="1"/>
    <col min="16" max="16" width="10.6640625" style="48" customWidth="1"/>
    <col min="17" max="16384" width="9" style="48"/>
  </cols>
  <sheetData>
    <row r="1" spans="1:16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">
      <c r="A3" s="52" t="s">
        <v>123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">
      <c r="A8" s="67" t="s">
        <v>28</v>
      </c>
      <c r="B8" s="63">
        <f>D8+P8</f>
        <v>209045.8629999999</v>
      </c>
      <c r="C8" s="63"/>
      <c r="D8" s="68">
        <f>SUM(E8:K8)+L8+M8+N8</f>
        <v>208320.00599999991</v>
      </c>
      <c r="E8" s="68">
        <f>+'[19]09YTD'!$J$65</f>
        <v>117015.42099999997</v>
      </c>
      <c r="F8" s="68">
        <f>+'[19]09YTD'!$K$65</f>
        <v>48911.522000000012</v>
      </c>
      <c r="G8" s="68">
        <f>+'[19]09YTD'!$L$65</f>
        <v>34969.701999999997</v>
      </c>
      <c r="H8" s="68">
        <f>+'[19]09YTD'!$M$65</f>
        <v>2872.8670000000002</v>
      </c>
      <c r="I8" s="68">
        <f>+'[19]09YTD'!$N$65</f>
        <v>-16.594000000000001</v>
      </c>
      <c r="J8" s="68">
        <f>+'[19]09YTD'!$O$65</f>
        <v>850.0229999999998</v>
      </c>
      <c r="K8" s="68">
        <f>+'[19]09YTD'!$P$65</f>
        <v>160.40800000000002</v>
      </c>
      <c r="L8" s="68">
        <f>+'[19]09YTD'!$U$65</f>
        <v>3737.0329999999999</v>
      </c>
      <c r="M8" s="68">
        <f>+'[19]09YTD'!$V$65</f>
        <v>-124.149</v>
      </c>
      <c r="N8" s="68">
        <f>+'[19]09YTD'!$W$65</f>
        <v>-56.227000000000004</v>
      </c>
      <c r="P8" s="68">
        <f>+[15]SEPT_YTD!$H$8</f>
        <v>725.85699999999974</v>
      </c>
    </row>
    <row r="9" spans="1:16" ht="12.75" customHeight="1" outlineLevel="4" x14ac:dyDescent="0.2">
      <c r="A9" s="62" t="s">
        <v>29</v>
      </c>
      <c r="B9" s="69">
        <f>D9+P9</f>
        <v>21098.829000000002</v>
      </c>
      <c r="C9" s="63"/>
      <c r="D9" s="70">
        <f>SUM(E9:K9)+L9+M9+N9</f>
        <v>21098.829000000002</v>
      </c>
      <c r="E9" s="70">
        <f>-'[19]09YTD'!J72</f>
        <v>-10820.570999999998</v>
      </c>
      <c r="F9" s="70">
        <f>-'[19]09YTD'!K72</f>
        <v>87.920000000000442</v>
      </c>
      <c r="G9" s="70">
        <f>-'[17]08YTD  '!L72</f>
        <v>0</v>
      </c>
      <c r="H9" s="70">
        <f>-'[19]09YTD'!M72</f>
        <v>2633.9110000000001</v>
      </c>
      <c r="I9" s="70">
        <f>-'[17]08YTD  '!N72</f>
        <v>0</v>
      </c>
      <c r="J9" s="70">
        <f>-'[19]09YTD'!O72</f>
        <v>344.64299999999997</v>
      </c>
      <c r="K9" s="70">
        <f>-'[19]09YTD'!P72</f>
        <v>0</v>
      </c>
      <c r="L9" s="70">
        <f>-'[19]09YTD'!U72</f>
        <v>28852.925999999999</v>
      </c>
      <c r="M9" s="70">
        <f>-'[19]09YTD'!V72</f>
        <v>0</v>
      </c>
      <c r="N9" s="70">
        <f>-'[19]09YTD'!W72</f>
        <v>0</v>
      </c>
      <c r="P9" s="70">
        <f>-'[21]09YTD '!$N$73</f>
        <v>0</v>
      </c>
    </row>
    <row r="10" spans="1:16" ht="12.75" customHeight="1" outlineLevel="4" x14ac:dyDescent="0.2">
      <c r="A10" s="67" t="s">
        <v>49</v>
      </c>
      <c r="B10" s="71">
        <f>B8+B9</f>
        <v>230144.69199999989</v>
      </c>
      <c r="C10" s="63"/>
      <c r="D10" s="71">
        <f t="shared" ref="D10:N10" si="0">D8+D9</f>
        <v>229418.8349999999</v>
      </c>
      <c r="E10" s="71">
        <f t="shared" si="0"/>
        <v>106194.84999999998</v>
      </c>
      <c r="F10" s="71">
        <f t="shared" si="0"/>
        <v>48999.44200000001</v>
      </c>
      <c r="G10" s="71">
        <f t="shared" si="0"/>
        <v>34969.701999999997</v>
      </c>
      <c r="H10" s="71">
        <f t="shared" si="0"/>
        <v>5506.7780000000002</v>
      </c>
      <c r="I10" s="71">
        <f t="shared" si="0"/>
        <v>-16.594000000000001</v>
      </c>
      <c r="J10" s="71">
        <f t="shared" si="0"/>
        <v>1194.6659999999997</v>
      </c>
      <c r="K10" s="71">
        <f t="shared" si="0"/>
        <v>160.40800000000002</v>
      </c>
      <c r="L10" s="71">
        <f t="shared" si="0"/>
        <v>32589.958999999999</v>
      </c>
      <c r="M10" s="71">
        <f t="shared" si="0"/>
        <v>-124.149</v>
      </c>
      <c r="N10" s="71">
        <f t="shared" si="0"/>
        <v>-56.227000000000004</v>
      </c>
      <c r="P10" s="71">
        <f>P8+P9</f>
        <v>725.85699999999974</v>
      </c>
    </row>
    <row r="11" spans="1:16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">
      <c r="A12" s="62" t="s">
        <v>5</v>
      </c>
      <c r="B12" s="63">
        <f t="shared" ref="B12:B18" si="1">D12+P12</f>
        <v>49094</v>
      </c>
      <c r="C12" s="63"/>
      <c r="D12" s="68">
        <f t="shared" ref="D12:D18" si="2">SUM(E12:K12)+L12+M12+N12</f>
        <v>49094</v>
      </c>
      <c r="E12" s="68">
        <f>+'[19]09YTD'!J36</f>
        <v>34809.866000000002</v>
      </c>
      <c r="F12" s="68">
        <f>+'[19]09YTD'!K36</f>
        <v>14284.134</v>
      </c>
      <c r="G12" s="68">
        <f>+'[19]09YTD'!L36</f>
        <v>0</v>
      </c>
      <c r="H12" s="68">
        <f>+'[19]09YTD'!M36</f>
        <v>0</v>
      </c>
      <c r="I12" s="68">
        <f>+'[19]09YTD'!N36</f>
        <v>0</v>
      </c>
      <c r="J12" s="68">
        <f>+'[19]09YTD'!O36</f>
        <v>0</v>
      </c>
      <c r="K12" s="68">
        <f>+'[19]09YTD'!P36</f>
        <v>0</v>
      </c>
      <c r="L12" s="68">
        <f>+'[19]09YTD'!U36</f>
        <v>0</v>
      </c>
      <c r="M12" s="68">
        <f>+'[19]09YTD'!V36</f>
        <v>0</v>
      </c>
      <c r="N12" s="68">
        <f>+'[19]09YTD'!W36</f>
        <v>0</v>
      </c>
      <c r="P12" s="68">
        <f>+[20]SEPT_YTD!$H$11</f>
        <v>0</v>
      </c>
    </row>
    <row r="13" spans="1:16" ht="12.75" customHeight="1" outlineLevel="4" x14ac:dyDescent="0.2">
      <c r="A13" s="62" t="s">
        <v>6</v>
      </c>
      <c r="B13" s="63">
        <f t="shared" si="1"/>
        <v>29635.442000000003</v>
      </c>
      <c r="C13" s="63"/>
      <c r="D13" s="68">
        <f t="shared" si="2"/>
        <v>30326.154000000002</v>
      </c>
      <c r="E13" s="68">
        <f>+'[19]09YTD'!J62</f>
        <v>30258.355</v>
      </c>
      <c r="F13" s="68">
        <f>+'[19]09YTD'!K62</f>
        <v>441.40100000000007</v>
      </c>
      <c r="G13" s="68">
        <f>+'[19]09YTD'!L62</f>
        <v>0</v>
      </c>
      <c r="H13" s="68">
        <f>+'[19]09YTD'!M62</f>
        <v>408.95100000000002</v>
      </c>
      <c r="I13" s="68">
        <f>+'[19]09YTD'!N62</f>
        <v>0</v>
      </c>
      <c r="J13" s="68">
        <f>+'[19]09YTD'!O62</f>
        <v>0</v>
      </c>
      <c r="K13" s="68">
        <f>+'[19]09YTD'!P62</f>
        <v>-5.4640000000000004</v>
      </c>
      <c r="L13" s="68">
        <f>+'[19]09YTD'!U62</f>
        <v>-777.08900000000006</v>
      </c>
      <c r="M13" s="68">
        <f>+'[19]09YTD'!V62</f>
        <v>0</v>
      </c>
      <c r="N13" s="68">
        <f>+'[19]09YTD'!W62</f>
        <v>0</v>
      </c>
      <c r="P13" s="68">
        <f>+[15]SEPT_YTD!$H$12</f>
        <v>-690.71199999999999</v>
      </c>
    </row>
    <row r="14" spans="1:16" ht="12.75" customHeight="1" outlineLevel="4" x14ac:dyDescent="0.2">
      <c r="A14" s="67" t="s">
        <v>22</v>
      </c>
      <c r="B14" s="63">
        <f t="shared" si="1"/>
        <v>-976.601</v>
      </c>
      <c r="C14" s="63"/>
      <c r="D14" s="68">
        <f t="shared" si="2"/>
        <v>-976.601</v>
      </c>
      <c r="E14" s="68">
        <f>-'[19]09YTD'!J46</f>
        <v>-976.60299999999995</v>
      </c>
      <c r="F14" s="68">
        <f>-'[19]09YTD'!K46</f>
        <v>2E-3</v>
      </c>
      <c r="G14" s="68">
        <f>-'[19]09YTD'!L46</f>
        <v>0</v>
      </c>
      <c r="H14" s="68">
        <f>-'[19]09YTD'!M46</f>
        <v>0</v>
      </c>
      <c r="I14" s="68">
        <f>-'[19]09YTD'!N46</f>
        <v>0</v>
      </c>
      <c r="J14" s="68">
        <f>-'[19]09YTD'!O46</f>
        <v>0</v>
      </c>
      <c r="K14" s="68">
        <f>-'[19]09YTD'!P46</f>
        <v>0</v>
      </c>
      <c r="L14" s="68">
        <f>-'[19]09YTD'!U46</f>
        <v>0</v>
      </c>
      <c r="M14" s="68">
        <f>-'[19]09YTD'!V46</f>
        <v>0</v>
      </c>
      <c r="N14" s="68">
        <f>-'[19]09YTD'!W46</f>
        <v>0</v>
      </c>
      <c r="P14" s="68">
        <f>+[15]SEPT_YTD!$H$13</f>
        <v>0</v>
      </c>
    </row>
    <row r="15" spans="1:16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P15" s="68"/>
    </row>
    <row r="16" spans="1:16" ht="12.75" customHeight="1" outlineLevel="4" x14ac:dyDescent="0.2">
      <c r="A16" s="67" t="s">
        <v>38</v>
      </c>
      <c r="B16" s="63">
        <f t="shared" si="1"/>
        <v>-44585.782000000007</v>
      </c>
      <c r="C16" s="63"/>
      <c r="D16" s="68">
        <f t="shared" si="2"/>
        <v>-43474.842000000004</v>
      </c>
      <c r="E16" s="68">
        <f>-'[19]09YTD'!J43</f>
        <v>-2936.2469999999998</v>
      </c>
      <c r="F16" s="68">
        <f>-'[19]09YTD'!K43</f>
        <v>0</v>
      </c>
      <c r="G16" s="68">
        <f>-'[19]09YTD'!L43</f>
        <v>-34969.701999999997</v>
      </c>
      <c r="H16" s="68">
        <f>-'[19]09YTD'!M43</f>
        <v>-5568.893</v>
      </c>
      <c r="I16" s="68">
        <f>-'[19]09YTD'!N43</f>
        <v>0</v>
      </c>
      <c r="J16" s="68">
        <f>-'[19]09YTD'!O43</f>
        <v>0</v>
      </c>
      <c r="K16" s="68">
        <f>-'[19]09YTD'!P43</f>
        <v>0</v>
      </c>
      <c r="L16" s="68">
        <f>-'[19]09YTD'!U43</f>
        <v>0</v>
      </c>
      <c r="M16" s="68">
        <f>-'[19]09YTD'!V43</f>
        <v>0</v>
      </c>
      <c r="N16" s="68">
        <f>-'[19]09YTD'!W43</f>
        <v>0</v>
      </c>
      <c r="P16" s="68">
        <f>+[15]SEPT_YTD!$H$15</f>
        <v>-1110.9399999999998</v>
      </c>
    </row>
    <row r="17" spans="1:16" ht="12.75" customHeight="1" outlineLevel="4" x14ac:dyDescent="0.2">
      <c r="A17" s="67" t="s">
        <v>39</v>
      </c>
      <c r="B17" s="63">
        <f t="shared" si="1"/>
        <v>10018</v>
      </c>
      <c r="C17" s="63"/>
      <c r="D17" s="68">
        <f t="shared" si="2"/>
        <v>4883</v>
      </c>
      <c r="E17" s="72">
        <v>2434</v>
      </c>
      <c r="F17" s="72"/>
      <c r="G17" s="72"/>
      <c r="H17" s="72">
        <v>2449</v>
      </c>
      <c r="I17" s="72"/>
      <c r="J17" s="72"/>
      <c r="K17" s="72"/>
      <c r="L17" s="72"/>
      <c r="M17" s="72"/>
      <c r="N17" s="72"/>
      <c r="P17" s="68">
        <f>+[15]SEPT_YTD!$H$16</f>
        <v>5135</v>
      </c>
    </row>
    <row r="18" spans="1:16" ht="12.75" customHeight="1" outlineLevel="4" x14ac:dyDescent="0.2">
      <c r="A18" s="67" t="s">
        <v>32</v>
      </c>
      <c r="B18" s="69">
        <f t="shared" si="1"/>
        <v>-55232</v>
      </c>
      <c r="C18" s="63"/>
      <c r="D18" s="68">
        <f t="shared" si="2"/>
        <v>-54991</v>
      </c>
      <c r="E18" s="70">
        <f>-4848-25026-38569</f>
        <v>-68443</v>
      </c>
      <c r="F18" s="70">
        <f>3694+2166</f>
        <v>5860</v>
      </c>
      <c r="G18" s="70">
        <v>0</v>
      </c>
      <c r="H18" s="70">
        <v>-1</v>
      </c>
      <c r="I18" s="70">
        <v>-12</v>
      </c>
      <c r="J18" s="70">
        <v>184</v>
      </c>
      <c r="K18" s="70">
        <v>13</v>
      </c>
      <c r="L18" s="70">
        <v>6902</v>
      </c>
      <c r="M18" s="70">
        <v>1</v>
      </c>
      <c r="N18" s="70">
        <v>505</v>
      </c>
      <c r="P18" s="68">
        <f>+[15]SEPT_YTD!$H$17</f>
        <v>-241</v>
      </c>
    </row>
    <row r="19" spans="1:16" ht="12.75" customHeight="1" outlineLevel="4" x14ac:dyDescent="0.2">
      <c r="A19" s="62" t="s">
        <v>31</v>
      </c>
      <c r="B19" s="73">
        <f>SUM(B10:B18)</f>
        <v>218097.75099999987</v>
      </c>
      <c r="C19" s="63"/>
      <c r="D19" s="73">
        <f t="shared" ref="D19:N19" si="3">SUM(D10:D18)</f>
        <v>214279.54599999986</v>
      </c>
      <c r="E19" s="73">
        <f t="shared" si="3"/>
        <v>101341.22099999999</v>
      </c>
      <c r="F19" s="73">
        <f t="shared" si="3"/>
        <v>69584.979000000007</v>
      </c>
      <c r="G19" s="73">
        <f t="shared" si="3"/>
        <v>0</v>
      </c>
      <c r="H19" s="73">
        <f t="shared" si="3"/>
        <v>2794.8360000000002</v>
      </c>
      <c r="I19" s="73">
        <f t="shared" si="3"/>
        <v>-28.594000000000001</v>
      </c>
      <c r="J19" s="73">
        <f t="shared" si="3"/>
        <v>1378.6659999999997</v>
      </c>
      <c r="K19" s="73">
        <f t="shared" si="3"/>
        <v>167.94400000000002</v>
      </c>
      <c r="L19" s="73">
        <f t="shared" si="3"/>
        <v>38714.869999999995</v>
      </c>
      <c r="M19" s="73">
        <f t="shared" si="3"/>
        <v>-123.149</v>
      </c>
      <c r="N19" s="73">
        <f t="shared" si="3"/>
        <v>448.77300000000002</v>
      </c>
      <c r="P19" s="73">
        <f>SUM(P10:P18)</f>
        <v>3818.2049999999999</v>
      </c>
    </row>
    <row r="20" spans="1:16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">
      <c r="A22" s="67" t="s">
        <v>8</v>
      </c>
      <c r="B22" s="63">
        <f t="shared" ref="B22:B30" si="4">D22+P22</f>
        <v>8792</v>
      </c>
      <c r="C22" s="63"/>
      <c r="D22" s="68">
        <f t="shared" ref="D22:D30" si="5">SUM(E22:K22)+L22+M22+N22</f>
        <v>6395</v>
      </c>
      <c r="E22" s="68">
        <v>17347</v>
      </c>
      <c r="F22" s="68">
        <v>-3537</v>
      </c>
      <c r="G22" s="68"/>
      <c r="H22" s="68">
        <v>-110</v>
      </c>
      <c r="I22" s="68">
        <v>17</v>
      </c>
      <c r="J22" s="68">
        <v>-1967</v>
      </c>
      <c r="K22" s="68">
        <v>280</v>
      </c>
      <c r="L22" s="68">
        <v>-2391</v>
      </c>
      <c r="M22" s="68">
        <v>-1973</v>
      </c>
      <c r="N22" s="68">
        <v>-1271</v>
      </c>
      <c r="P22" s="68">
        <f>+[15]SEPT_YTD!$H$20</f>
        <v>2397</v>
      </c>
    </row>
    <row r="23" spans="1:16" ht="12.75" customHeight="1" outlineLevel="4" x14ac:dyDescent="0.2">
      <c r="A23" s="67" t="s">
        <v>20</v>
      </c>
      <c r="B23" s="63">
        <f t="shared" si="4"/>
        <v>-1999</v>
      </c>
      <c r="C23" s="63"/>
      <c r="D23" s="68">
        <f t="shared" si="5"/>
        <v>-1999</v>
      </c>
      <c r="E23" s="68">
        <v>-44977</v>
      </c>
      <c r="F23" s="68">
        <f>-22223-36042</f>
        <v>-58265</v>
      </c>
      <c r="G23" s="68"/>
      <c r="H23" s="68">
        <v>-5793</v>
      </c>
      <c r="I23" s="68">
        <v>18</v>
      </c>
      <c r="J23" s="68">
        <v>3836</v>
      </c>
      <c r="K23" s="68">
        <v>-902</v>
      </c>
      <c r="L23" s="68">
        <v>-6458</v>
      </c>
      <c r="M23" s="68">
        <v>109831</v>
      </c>
      <c r="N23" s="68">
        <v>711</v>
      </c>
      <c r="P23" s="68">
        <f>+[15]SEPT_YTD!$H$21</f>
        <v>0</v>
      </c>
    </row>
    <row r="24" spans="1:16" ht="12.75" customHeight="1" outlineLevel="4" x14ac:dyDescent="0.2">
      <c r="A24" s="67" t="s">
        <v>9</v>
      </c>
      <c r="B24" s="63">
        <f t="shared" si="4"/>
        <v>279</v>
      </c>
      <c r="C24" s="63"/>
      <c r="D24" s="68">
        <f t="shared" si="5"/>
        <v>279</v>
      </c>
      <c r="E24" s="68">
        <v>140</v>
      </c>
      <c r="F24" s="68">
        <v>139</v>
      </c>
      <c r="G24" s="68"/>
      <c r="H24" s="68"/>
      <c r="I24" s="68"/>
      <c r="J24" s="68"/>
      <c r="K24" s="68"/>
      <c r="L24" s="68"/>
      <c r="M24" s="68"/>
      <c r="N24" s="68"/>
      <c r="P24" s="68">
        <f>+[15]SEPT_YTD!$H$22</f>
        <v>0</v>
      </c>
    </row>
    <row r="25" spans="1:16" ht="12.75" customHeight="1" outlineLevel="4" x14ac:dyDescent="0.2">
      <c r="A25" s="67" t="s">
        <v>10</v>
      </c>
      <c r="B25" s="63">
        <f t="shared" si="4"/>
        <v>8</v>
      </c>
      <c r="C25" s="63"/>
      <c r="D25" s="68">
        <f t="shared" si="5"/>
        <v>8</v>
      </c>
      <c r="E25" s="68">
        <v>0</v>
      </c>
      <c r="F25" s="68">
        <v>8</v>
      </c>
      <c r="G25" s="68"/>
      <c r="H25" s="68"/>
      <c r="I25" s="68"/>
      <c r="J25" s="68"/>
      <c r="K25" s="68"/>
      <c r="L25" s="68"/>
      <c r="M25" s="68"/>
      <c r="N25" s="68"/>
      <c r="P25" s="68">
        <f>+[15]SEPT_YTD!$H$23</f>
        <v>0</v>
      </c>
    </row>
    <row r="26" spans="1:16" ht="12.75" customHeight="1" outlineLevel="4" x14ac:dyDescent="0.2">
      <c r="A26" s="67" t="s">
        <v>11</v>
      </c>
      <c r="B26" s="63">
        <f t="shared" si="4"/>
        <v>14518</v>
      </c>
      <c r="C26" s="63"/>
      <c r="D26" s="68">
        <f t="shared" si="5"/>
        <v>14497</v>
      </c>
      <c r="E26" s="68">
        <v>-13332</v>
      </c>
      <c r="F26" s="68">
        <v>20797</v>
      </c>
      <c r="G26" s="68"/>
      <c r="H26" s="68">
        <v>1130</v>
      </c>
      <c r="I26" s="68">
        <v>3</v>
      </c>
      <c r="J26" s="68">
        <v>-906</v>
      </c>
      <c r="K26" s="68">
        <v>-3</v>
      </c>
      <c r="L26" s="68">
        <v>-1089</v>
      </c>
      <c r="M26" s="68">
        <v>8004</v>
      </c>
      <c r="N26" s="68">
        <v>-107</v>
      </c>
      <c r="P26" s="68">
        <f>+[15]SEPT_YTD!$H$24</f>
        <v>21</v>
      </c>
    </row>
    <row r="27" spans="1:16" ht="12.75" customHeight="1" outlineLevel="4" x14ac:dyDescent="0.2">
      <c r="A27" s="62" t="s">
        <v>12</v>
      </c>
      <c r="B27" s="63">
        <f t="shared" si="4"/>
        <v>3795</v>
      </c>
      <c r="C27" s="63"/>
      <c r="D27" s="68">
        <f t="shared" si="5"/>
        <v>3795</v>
      </c>
      <c r="E27" s="68">
        <v>4083</v>
      </c>
      <c r="F27" s="68">
        <v>-288</v>
      </c>
      <c r="G27" s="68"/>
      <c r="H27" s="68">
        <v>0</v>
      </c>
      <c r="I27" s="68"/>
      <c r="J27" s="68"/>
      <c r="K27" s="68"/>
      <c r="L27" s="68"/>
      <c r="M27" s="68"/>
      <c r="N27" s="68"/>
      <c r="P27" s="68">
        <f>+[15]SEPT_YTD!$H$25</f>
        <v>0</v>
      </c>
    </row>
    <row r="28" spans="1:16" ht="12.75" customHeight="1" outlineLevel="4" x14ac:dyDescent="0.2">
      <c r="A28" s="67" t="s">
        <v>13</v>
      </c>
      <c r="B28" s="63">
        <f t="shared" si="4"/>
        <v>2989</v>
      </c>
      <c r="C28" s="63"/>
      <c r="D28" s="68">
        <f t="shared" si="5"/>
        <v>2977</v>
      </c>
      <c r="E28" s="68">
        <v>1096</v>
      </c>
      <c r="F28" s="68">
        <v>1925</v>
      </c>
      <c r="G28" s="68"/>
      <c r="H28" s="68">
        <v>-1</v>
      </c>
      <c r="I28" s="68"/>
      <c r="J28" s="68">
        <v>2</v>
      </c>
      <c r="K28" s="68">
        <v>-1</v>
      </c>
      <c r="L28" s="68">
        <v>-47</v>
      </c>
      <c r="M28" s="68"/>
      <c r="N28" s="68">
        <v>3</v>
      </c>
      <c r="P28" s="68">
        <f>+[15]SEPT_YTD!$H$26</f>
        <v>12</v>
      </c>
    </row>
    <row r="29" spans="1:16" ht="12.75" customHeight="1" outlineLevel="4" x14ac:dyDescent="0.2">
      <c r="A29" s="67" t="s">
        <v>14</v>
      </c>
      <c r="B29" s="63">
        <f t="shared" si="4"/>
        <v>5748</v>
      </c>
      <c r="C29" s="63"/>
      <c r="D29" s="68">
        <f t="shared" si="5"/>
        <v>5748</v>
      </c>
      <c r="E29" s="72">
        <v>3563</v>
      </c>
      <c r="F29" s="72">
        <v>2185</v>
      </c>
      <c r="G29" s="72"/>
      <c r="H29" s="72"/>
      <c r="I29" s="72"/>
      <c r="J29" s="72"/>
      <c r="K29" s="72"/>
      <c r="L29" s="72"/>
      <c r="M29" s="72"/>
      <c r="N29" s="72"/>
      <c r="P29" s="68">
        <f>+[15]SEPT_YTD!$H$27</f>
        <v>0</v>
      </c>
    </row>
    <row r="30" spans="1:16" ht="12.75" customHeight="1" outlineLevel="4" x14ac:dyDescent="0.2">
      <c r="A30" s="67" t="s">
        <v>30</v>
      </c>
      <c r="B30" s="69">
        <f t="shared" si="4"/>
        <v>-9096</v>
      </c>
      <c r="C30" s="63"/>
      <c r="D30" s="68">
        <f t="shared" si="5"/>
        <v>-9096</v>
      </c>
      <c r="E30" s="70">
        <v>-8975</v>
      </c>
      <c r="F30" s="70">
        <f>-448+1</f>
        <v>-447</v>
      </c>
      <c r="G30" s="70"/>
      <c r="H30" s="70">
        <v>-693</v>
      </c>
      <c r="I30" s="70"/>
      <c r="J30" s="70">
        <v>-807</v>
      </c>
      <c r="K30" s="70">
        <v>2</v>
      </c>
      <c r="L30" s="70">
        <v>1777</v>
      </c>
      <c r="M30" s="70"/>
      <c r="N30" s="70">
        <f>46+1</f>
        <v>47</v>
      </c>
      <c r="P30" s="68">
        <f>+[15]SEPT_YTD!$H$28</f>
        <v>0</v>
      </c>
    </row>
    <row r="31" spans="1:16" ht="12.75" customHeight="1" outlineLevel="4" x14ac:dyDescent="0.2">
      <c r="A31" s="67" t="s">
        <v>33</v>
      </c>
      <c r="B31" s="84">
        <f>SUM(B21:B30)</f>
        <v>25034</v>
      </c>
      <c r="C31" s="74"/>
      <c r="D31" s="84">
        <f t="shared" ref="D31:N31" si="6">SUM(D21:D30)</f>
        <v>22604</v>
      </c>
      <c r="E31" s="84">
        <f t="shared" si="6"/>
        <v>-41055</v>
      </c>
      <c r="F31" s="84">
        <f t="shared" si="6"/>
        <v>-37483</v>
      </c>
      <c r="G31" s="84">
        <f t="shared" si="6"/>
        <v>0</v>
      </c>
      <c r="H31" s="84">
        <f t="shared" si="6"/>
        <v>-5467</v>
      </c>
      <c r="I31" s="84">
        <f t="shared" si="6"/>
        <v>38</v>
      </c>
      <c r="J31" s="84">
        <f t="shared" si="6"/>
        <v>158</v>
      </c>
      <c r="K31" s="84">
        <f t="shared" si="6"/>
        <v>-624</v>
      </c>
      <c r="L31" s="84">
        <f t="shared" si="6"/>
        <v>-8208</v>
      </c>
      <c r="M31" s="84">
        <f t="shared" si="6"/>
        <v>115862</v>
      </c>
      <c r="N31" s="84">
        <f t="shared" si="6"/>
        <v>-617</v>
      </c>
      <c r="P31" s="84">
        <f>SUM(P21:P30)</f>
        <v>2430</v>
      </c>
    </row>
    <row r="32" spans="1:16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">
      <c r="A33" s="62" t="s">
        <v>15</v>
      </c>
      <c r="B33" s="75">
        <f>B19+B31</f>
        <v>243131.75099999987</v>
      </c>
      <c r="C33" s="63"/>
      <c r="D33" s="75">
        <f t="shared" ref="D33:N33" si="7">D19+D31</f>
        <v>236883.54599999986</v>
      </c>
      <c r="E33" s="75">
        <f t="shared" si="7"/>
        <v>60286.22099999999</v>
      </c>
      <c r="F33" s="75">
        <f t="shared" si="7"/>
        <v>32101.979000000007</v>
      </c>
      <c r="G33" s="75">
        <f t="shared" si="7"/>
        <v>0</v>
      </c>
      <c r="H33" s="75">
        <f t="shared" si="7"/>
        <v>-2672.1639999999998</v>
      </c>
      <c r="I33" s="75">
        <f t="shared" si="7"/>
        <v>9.4059999999999988</v>
      </c>
      <c r="J33" s="75">
        <f t="shared" si="7"/>
        <v>1536.6659999999997</v>
      </c>
      <c r="K33" s="75">
        <f t="shared" si="7"/>
        <v>-456.05599999999998</v>
      </c>
      <c r="L33" s="75">
        <f t="shared" si="7"/>
        <v>30506.869999999995</v>
      </c>
      <c r="M33" s="75">
        <f t="shared" si="7"/>
        <v>115738.851</v>
      </c>
      <c r="N33" s="75">
        <f t="shared" si="7"/>
        <v>-168.22699999999998</v>
      </c>
      <c r="P33" s="75">
        <f>P19+P31</f>
        <v>6248.2049999999999</v>
      </c>
    </row>
    <row r="34" spans="1:16" ht="12.75" customHeight="1" outlineLevel="3" x14ac:dyDescent="0.2">
      <c r="B34" s="63"/>
      <c r="C34" s="63"/>
    </row>
    <row r="35" spans="1:16" ht="12.75" customHeight="1" outlineLevel="3" x14ac:dyDescent="0.2">
      <c r="A35" s="66" t="s">
        <v>16</v>
      </c>
      <c r="B35" s="63"/>
      <c r="C35" s="63"/>
    </row>
    <row r="36" spans="1:16" ht="12.75" customHeight="1" outlineLevel="4" x14ac:dyDescent="0.2">
      <c r="A36" s="62" t="s">
        <v>24</v>
      </c>
      <c r="B36" s="63">
        <f t="shared" ref="B36:B41" si="8">D36+P36</f>
        <v>5679</v>
      </c>
      <c r="C36" s="63"/>
      <c r="D36" s="68">
        <f>SUM(E36:K36)+L36+M36+N36</f>
        <v>5679</v>
      </c>
      <c r="E36" s="76">
        <v>5562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P36" s="76"/>
    </row>
    <row r="37" spans="1:16" ht="12.75" customHeight="1" outlineLevel="4" x14ac:dyDescent="0.2">
      <c r="A37" s="62" t="s">
        <v>17</v>
      </c>
      <c r="B37" s="63">
        <f t="shared" si="8"/>
        <v>-61218</v>
      </c>
      <c r="C37" s="63"/>
      <c r="D37" s="68">
        <f>SUM(E37:K37)+L37+M37+N37</f>
        <v>-61218</v>
      </c>
      <c r="E37" s="76">
        <v>-39076</v>
      </c>
      <c r="F37" s="76">
        <v>-22142</v>
      </c>
      <c r="G37" s="76"/>
      <c r="H37" s="76"/>
      <c r="I37" s="76"/>
      <c r="J37" s="76"/>
      <c r="K37" s="76"/>
      <c r="L37" s="76"/>
      <c r="M37" s="76"/>
      <c r="N37" s="76"/>
      <c r="P37" s="76"/>
    </row>
    <row r="38" spans="1:16" ht="12.75" customHeight="1" outlineLevel="4" x14ac:dyDescent="0.2">
      <c r="A38" s="62" t="s">
        <v>104</v>
      </c>
      <c r="B38" s="63">
        <f t="shared" si="8"/>
        <v>27509</v>
      </c>
      <c r="C38" s="63"/>
      <c r="D38" s="68">
        <f>SUM(E38:K38)+L38+M38+N38</f>
        <v>27509</v>
      </c>
      <c r="E38" s="76">
        <f>31172-2832</f>
        <v>28340</v>
      </c>
      <c r="F38" s="76">
        <f>-344-487</f>
        <v>-831</v>
      </c>
      <c r="G38" s="76"/>
      <c r="H38" s="76"/>
      <c r="I38" s="76"/>
      <c r="J38" s="76"/>
      <c r="K38" s="76"/>
      <c r="L38" s="76"/>
      <c r="M38" s="76"/>
      <c r="N38" s="76"/>
      <c r="P38" s="76"/>
    </row>
    <row r="39" spans="1:16" ht="12.75" customHeight="1" outlineLevel="4" x14ac:dyDescent="0.2">
      <c r="A39" s="62" t="s">
        <v>113</v>
      </c>
      <c r="B39" s="63">
        <f t="shared" si="8"/>
        <v>-6770</v>
      </c>
      <c r="C39" s="63"/>
      <c r="D39" s="68">
        <f>SUM(E39:N39)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P39" s="76">
        <f>+[15]SEPT_YTD!$H$37</f>
        <v>-6770</v>
      </c>
    </row>
    <row r="40" spans="1:16" ht="12.75" customHeight="1" outlineLevel="4" x14ac:dyDescent="0.2">
      <c r="A40" s="67" t="s">
        <v>42</v>
      </c>
      <c r="B40" s="63">
        <f t="shared" si="8"/>
        <v>0</v>
      </c>
      <c r="C40" s="63"/>
      <c r="D40" s="68">
        <f>SUM(E40:N40)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P40" s="76"/>
    </row>
    <row r="41" spans="1:16" ht="12.75" customHeight="1" outlineLevel="4" x14ac:dyDescent="0.2">
      <c r="A41" s="67" t="s">
        <v>41</v>
      </c>
      <c r="B41" s="69">
        <f t="shared" si="8"/>
        <v>-13</v>
      </c>
      <c r="C41" s="63"/>
      <c r="D41" s="70">
        <f>SUM(E41:K41)+L41+M41+N41</f>
        <v>-13</v>
      </c>
      <c r="E41" s="70">
        <f>-14+1</f>
        <v>-13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P41" s="70"/>
    </row>
    <row r="42" spans="1:16" ht="12.75" customHeight="1" outlineLevel="3" x14ac:dyDescent="0.2">
      <c r="A42" s="62" t="s">
        <v>18</v>
      </c>
      <c r="B42" s="75">
        <f t="shared" ref="B42:K42" si="9">SUM(B36:B41)</f>
        <v>-34813</v>
      </c>
      <c r="C42" s="77">
        <f t="shared" si="9"/>
        <v>0</v>
      </c>
      <c r="D42" s="75">
        <f t="shared" si="9"/>
        <v>-28043</v>
      </c>
      <c r="E42" s="75">
        <f t="shared" si="9"/>
        <v>-5187</v>
      </c>
      <c r="F42" s="75">
        <f t="shared" si="9"/>
        <v>-22856</v>
      </c>
      <c r="G42" s="75">
        <f t="shared" si="9"/>
        <v>0</v>
      </c>
      <c r="H42" s="75">
        <f t="shared" si="9"/>
        <v>0</v>
      </c>
      <c r="I42" s="75">
        <f t="shared" si="9"/>
        <v>0</v>
      </c>
      <c r="J42" s="75">
        <f t="shared" si="9"/>
        <v>0</v>
      </c>
      <c r="K42" s="75">
        <f t="shared" si="9"/>
        <v>0</v>
      </c>
      <c r="L42" s="75">
        <f>SUM(L36:L41)</f>
        <v>0</v>
      </c>
      <c r="M42" s="75">
        <f>SUM(M36:M41)</f>
        <v>0</v>
      </c>
      <c r="N42" s="75">
        <f>SUM(N36:N41)</f>
        <v>0</v>
      </c>
      <c r="P42" s="75">
        <f>SUM(P36:P41)</f>
        <v>-6770</v>
      </c>
    </row>
    <row r="43" spans="1:16" ht="12.75" customHeight="1" outlineLevel="3" x14ac:dyDescent="0.2">
      <c r="B43" s="63"/>
      <c r="C43" s="63"/>
    </row>
    <row r="44" spans="1:16" ht="12.75" customHeight="1" outlineLevel="3" x14ac:dyDescent="0.2">
      <c r="A44" s="78" t="s">
        <v>43</v>
      </c>
      <c r="B44" s="63"/>
      <c r="C44" s="63"/>
    </row>
    <row r="45" spans="1:16" ht="12.75" customHeight="1" outlineLevel="4" x14ac:dyDescent="0.2">
      <c r="A45" s="67" t="s">
        <v>44</v>
      </c>
      <c r="B45" s="63">
        <f>D45+P45</f>
        <v>0</v>
      </c>
      <c r="C45" s="63"/>
      <c r="D45" s="68">
        <f>SUM(E45:N45)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P45" s="68"/>
    </row>
    <row r="46" spans="1:16" ht="12.75" customHeight="1" outlineLevel="4" x14ac:dyDescent="0.2">
      <c r="A46" s="67" t="s">
        <v>45</v>
      </c>
      <c r="B46" s="63">
        <f>D46+P46</f>
        <v>150000</v>
      </c>
      <c r="C46" s="63"/>
      <c r="D46" s="68">
        <f>SUM(E46:K46)+L46+M46+N46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P46" s="68"/>
    </row>
    <row r="47" spans="1:16" ht="12.75" customHeight="1" outlineLevel="4" x14ac:dyDescent="0.2">
      <c r="A47" s="67" t="s">
        <v>46</v>
      </c>
      <c r="B47" s="63">
        <f>D47+P47</f>
        <v>-123000</v>
      </c>
      <c r="C47" s="63"/>
      <c r="D47" s="68">
        <f>SUM(E47:N47)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P47" s="68"/>
    </row>
    <row r="48" spans="1:16" ht="12.75" customHeight="1" outlineLevel="4" x14ac:dyDescent="0.2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P48" s="68">
        <f>+[15]SEPT_YTD!$H$46</f>
        <v>0</v>
      </c>
    </row>
    <row r="49" spans="1:16" ht="12.75" customHeight="1" outlineLevel="4" x14ac:dyDescent="0.2">
      <c r="A49" s="67" t="s">
        <v>47</v>
      </c>
      <c r="B49" s="63">
        <f>D49+P49</f>
        <v>0</v>
      </c>
      <c r="C49" s="63"/>
      <c r="D49" s="68">
        <f>SUM(E49:N49)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P49" s="72"/>
    </row>
    <row r="50" spans="1:16" ht="12.75" customHeight="1" outlineLevel="3" x14ac:dyDescent="0.2">
      <c r="A50" s="62" t="s">
        <v>19</v>
      </c>
      <c r="B50" s="79">
        <f>SUM(B45:B49)</f>
        <v>27000</v>
      </c>
      <c r="C50" s="63"/>
      <c r="D50" s="79">
        <f t="shared" ref="D50:K50" si="10">SUM(D45:D49)</f>
        <v>27000</v>
      </c>
      <c r="E50" s="79">
        <f t="shared" si="10"/>
        <v>0</v>
      </c>
      <c r="F50" s="79">
        <f t="shared" si="10"/>
        <v>27000</v>
      </c>
      <c r="G50" s="79">
        <f t="shared" si="10"/>
        <v>0</v>
      </c>
      <c r="H50" s="79">
        <f t="shared" si="10"/>
        <v>0</v>
      </c>
      <c r="I50" s="79">
        <f t="shared" si="10"/>
        <v>0</v>
      </c>
      <c r="J50" s="79">
        <f t="shared" si="10"/>
        <v>0</v>
      </c>
      <c r="K50" s="79">
        <f t="shared" si="10"/>
        <v>0</v>
      </c>
      <c r="L50" s="79">
        <f>SUM(L45:L49)</f>
        <v>0</v>
      </c>
      <c r="M50" s="79">
        <f>SUM(M45:M49)</f>
        <v>0</v>
      </c>
      <c r="N50" s="79">
        <f>SUM(N45:N49)</f>
        <v>0</v>
      </c>
      <c r="P50" s="79">
        <f>SUM(P45:P49)</f>
        <v>0</v>
      </c>
    </row>
    <row r="51" spans="1:16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">
      <c r="A52" s="67" t="s">
        <v>25</v>
      </c>
      <c r="B52" s="77">
        <f>B33+B42+B50</f>
        <v>235318.75099999987</v>
      </c>
      <c r="C52" s="63"/>
      <c r="D52" s="77">
        <f t="shared" ref="D52:K52" si="11">D33+D42+D50</f>
        <v>235840.54599999986</v>
      </c>
      <c r="E52" s="77">
        <f t="shared" si="11"/>
        <v>55099.22099999999</v>
      </c>
      <c r="F52" s="77">
        <f t="shared" si="11"/>
        <v>36245.979000000007</v>
      </c>
      <c r="G52" s="77">
        <f t="shared" si="11"/>
        <v>0</v>
      </c>
      <c r="H52" s="77">
        <f t="shared" si="11"/>
        <v>-2672.1639999999998</v>
      </c>
      <c r="I52" s="77">
        <f t="shared" si="11"/>
        <v>9.4059999999999988</v>
      </c>
      <c r="J52" s="77">
        <f t="shared" si="11"/>
        <v>1536.6659999999997</v>
      </c>
      <c r="K52" s="77">
        <f t="shared" si="11"/>
        <v>-456.05599999999998</v>
      </c>
      <c r="L52" s="77">
        <f>L33+L42+L50</f>
        <v>30506.869999999995</v>
      </c>
      <c r="M52" s="77">
        <f>M33+M42+M50</f>
        <v>115738.851</v>
      </c>
      <c r="N52" s="77">
        <f>N33+N42+N50</f>
        <v>-168.22699999999998</v>
      </c>
      <c r="P52" s="77">
        <f>P33+P42+P50</f>
        <v>-521.79500000000007</v>
      </c>
    </row>
    <row r="53" spans="1:16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">
      <c r="A54" s="67" t="s">
        <v>26</v>
      </c>
      <c r="B54" s="69">
        <f>D54+P54</f>
        <v>3259</v>
      </c>
      <c r="C54" s="63"/>
      <c r="D54" s="70">
        <f>SUM(E54:K54)+L54+M54+N54</f>
        <v>1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P54" s="80">
        <f>+[15]SEPT_YTD!$J$50</f>
        <v>3258</v>
      </c>
    </row>
    <row r="55" spans="1:16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25">
      <c r="A56" s="67" t="s">
        <v>27</v>
      </c>
      <c r="B56" s="81">
        <f>B52-B54</f>
        <v>232059.75099999987</v>
      </c>
      <c r="C56" s="63"/>
      <c r="D56" s="81">
        <f t="shared" ref="D56:N56" si="12">D52-D54</f>
        <v>235839.54599999986</v>
      </c>
      <c r="E56" s="81">
        <f t="shared" si="12"/>
        <v>55098.22099999999</v>
      </c>
      <c r="F56" s="81">
        <f t="shared" si="12"/>
        <v>36245.979000000007</v>
      </c>
      <c r="G56" s="81">
        <f t="shared" si="12"/>
        <v>0</v>
      </c>
      <c r="H56" s="81">
        <f t="shared" si="12"/>
        <v>-2672.1639999999998</v>
      </c>
      <c r="I56" s="81">
        <f t="shared" si="12"/>
        <v>9.4059999999999988</v>
      </c>
      <c r="J56" s="81">
        <f t="shared" si="12"/>
        <v>1536.6659999999997</v>
      </c>
      <c r="K56" s="81">
        <f t="shared" si="12"/>
        <v>-456.05599999999998</v>
      </c>
      <c r="L56" s="81">
        <f t="shared" si="12"/>
        <v>30506.869999999995</v>
      </c>
      <c r="M56" s="81">
        <f t="shared" si="12"/>
        <v>115738.851</v>
      </c>
      <c r="N56" s="81">
        <f t="shared" si="12"/>
        <v>-168.22699999999998</v>
      </c>
      <c r="P56" s="81">
        <f>P52-P54</f>
        <v>-3779.7950000000001</v>
      </c>
    </row>
    <row r="57" spans="1:16" ht="12.75" customHeight="1" outlineLevel="1" thickTop="1" x14ac:dyDescent="0.2">
      <c r="B57" s="46"/>
      <c r="C57" s="46"/>
    </row>
    <row r="58" spans="1:16" ht="12.75" customHeight="1" x14ac:dyDescent="0.2">
      <c r="A58" s="48" t="s">
        <v>51</v>
      </c>
      <c r="B58" s="70">
        <f>D58+P58</f>
        <v>-27059</v>
      </c>
      <c r="C58" s="46"/>
      <c r="D58" s="70">
        <f>SUM(E58:N58)</f>
        <v>-27059</v>
      </c>
      <c r="E58" s="80">
        <v>-58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0">
        <v>0</v>
      </c>
      <c r="M58" s="80">
        <v>0</v>
      </c>
      <c r="N58" s="80">
        <v>0</v>
      </c>
      <c r="P58" s="80">
        <f>+[15]SEPT_YTD!$J$54</f>
        <v>0</v>
      </c>
    </row>
    <row r="59" spans="1:16" ht="12.75" customHeight="1" x14ac:dyDescent="0.2">
      <c r="B59" s="46"/>
      <c r="C59" s="46"/>
    </row>
    <row r="60" spans="1:16" ht="12.75" customHeight="1" thickBot="1" x14ac:dyDescent="0.25">
      <c r="A60" s="48" t="s">
        <v>50</v>
      </c>
      <c r="B60" s="81">
        <f>B56+B58</f>
        <v>205000.75099999987</v>
      </c>
      <c r="C60" s="46"/>
      <c r="D60" s="81">
        <f t="shared" ref="D60:K60" si="13">D56+D58</f>
        <v>208780.54599999986</v>
      </c>
      <c r="E60" s="81">
        <f t="shared" si="13"/>
        <v>55040.22099999999</v>
      </c>
      <c r="F60" s="81">
        <f t="shared" si="13"/>
        <v>9245.9790000000066</v>
      </c>
      <c r="G60" s="81">
        <f t="shared" si="13"/>
        <v>0</v>
      </c>
      <c r="H60" s="81">
        <f t="shared" si="13"/>
        <v>-2672.1639999999998</v>
      </c>
      <c r="I60" s="81">
        <f t="shared" si="13"/>
        <v>-1502.5940000000001</v>
      </c>
      <c r="J60" s="81">
        <f t="shared" si="13"/>
        <v>8893.6659999999993</v>
      </c>
      <c r="K60" s="81">
        <f t="shared" si="13"/>
        <v>-6302.0559999999996</v>
      </c>
      <c r="L60" s="81">
        <f>L56+L58</f>
        <v>30506.869999999995</v>
      </c>
      <c r="M60" s="81">
        <f>M56+M58</f>
        <v>115738.851</v>
      </c>
      <c r="N60" s="81">
        <f>N56-N58</f>
        <v>-168.22699999999998</v>
      </c>
      <c r="P60" s="81">
        <f>P56+P58</f>
        <v>-3779.7950000000001</v>
      </c>
    </row>
    <row r="61" spans="1:16" ht="12.75" customHeight="1" thickTop="1" x14ac:dyDescent="0.2">
      <c r="B61" s="46"/>
      <c r="C61" s="46"/>
    </row>
    <row r="62" spans="1:16" ht="12.75" customHeight="1" x14ac:dyDescent="0.2">
      <c r="B62" s="46"/>
      <c r="C62" s="46"/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70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C1" workbookViewId="0">
      <selection activeCell="O9" sqref="O9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6" width="12.1640625" style="48" customWidth="1"/>
    <col min="17" max="17" width="10.83203125" style="48" customWidth="1"/>
    <col min="18" max="18" width="3.6640625" style="48" customWidth="1"/>
    <col min="19" max="19" width="9.832031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122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21773.644999999975</v>
      </c>
      <c r="C8" s="63"/>
      <c r="D8" s="68">
        <f>SUM(E8:M8)+O8+P8+Q8</f>
        <v>23998.864999999976</v>
      </c>
      <c r="E8" s="68">
        <f>+'AUGYTD '!E8-'JULYYTD '!E8</f>
        <v>3356.9499999999825</v>
      </c>
      <c r="F8" s="68">
        <f>+'AUGYTD '!F8-'JULYYTD '!F8</f>
        <v>5390.5089999999909</v>
      </c>
      <c r="G8" s="68">
        <f>+'AUGYTD '!G8-'JULYYTD '!G8</f>
        <v>12434.078000000001</v>
      </c>
      <c r="H8" s="68">
        <f>+'AUGYTD '!H8-'JULYYTD '!H8</f>
        <v>362.70399999999927</v>
      </c>
      <c r="I8" s="68">
        <f>+'AUGYTD '!I8-'JULYYTD '!I8</f>
        <v>-3.0329999999999999</v>
      </c>
      <c r="J8" s="68">
        <f>+'AUGYTD '!J8-'JULYYTD '!J8</f>
        <v>-208.26100000000014</v>
      </c>
      <c r="K8" s="68">
        <f>+'AUGYTD '!K8-'JULYYTD '!K8</f>
        <v>8.4419999999999789</v>
      </c>
      <c r="L8" s="68">
        <f>+'AUGYTD '!L8-'JULYYTD '!L8</f>
        <v>0</v>
      </c>
      <c r="M8" s="68">
        <f>+'AUGYTD '!M8-'JULYYTD '!M8</f>
        <v>0</v>
      </c>
      <c r="N8" s="68">
        <f>M8+L8</f>
        <v>0</v>
      </c>
      <c r="O8" s="68">
        <f>+'AUGYTD '!O8-'JULYYTD '!O8</f>
        <v>2554.5910000000017</v>
      </c>
      <c r="P8" s="68">
        <f>+'AUGYTD '!P8-'JULYYTD '!P8</f>
        <v>189.84800000000001</v>
      </c>
      <c r="Q8" s="68">
        <f>+'AUGYTD '!Q8-'JULYYTD '!Q8</f>
        <v>-86.962999999999937</v>
      </c>
      <c r="S8" s="68">
        <f>+'AUGYTD '!S8-'JULYYTD '!S8</f>
        <v>-2225.2199999999993</v>
      </c>
    </row>
    <row r="9" spans="1:19" ht="12.75" customHeight="1" outlineLevel="4" x14ac:dyDescent="0.2">
      <c r="A9" s="62" t="s">
        <v>29</v>
      </c>
      <c r="B9" s="69">
        <f>D9+S9</f>
        <v>1444.3119999999976</v>
      </c>
      <c r="C9" s="63"/>
      <c r="D9" s="70">
        <f>SUM(E9:M9)+O9+P9+Q9</f>
        <v>1444.3119999999976</v>
      </c>
      <c r="E9" s="70">
        <f>+'AUGYTD '!E9-'JULYYTD '!E9</f>
        <v>-1202.1660000000011</v>
      </c>
      <c r="F9" s="70">
        <f>+'AUGYTD '!F9-'JULYYTD '!F9</f>
        <v>-125.43400000000037</v>
      </c>
      <c r="G9" s="70">
        <f>+'AUGYTD '!G9-'JULYYTD '!G9</f>
        <v>0</v>
      </c>
      <c r="H9" s="70">
        <f>+'AUGYTD '!H9-'JULYYTD '!H9</f>
        <v>292.65700000000015</v>
      </c>
      <c r="I9" s="70">
        <f>+'AUGYTD '!I9-'JULYYTD '!I9</f>
        <v>0</v>
      </c>
      <c r="J9" s="70">
        <f>+'AUGYTD '!J9-'JULYYTD '!J9</f>
        <v>27.11699999999999</v>
      </c>
      <c r="K9" s="70">
        <f>+'AUGYTD '!K9-'JULYYTD '!K9</f>
        <v>0</v>
      </c>
      <c r="L9" s="70">
        <f>+'AUGYTD '!L9-'JULYYTD '!L9</f>
        <v>0</v>
      </c>
      <c r="M9" s="70">
        <f>+'AUGYTD '!M9-'JULYYTD '!M9</f>
        <v>0</v>
      </c>
      <c r="N9" s="70">
        <f>M9+L9</f>
        <v>0</v>
      </c>
      <c r="O9" s="70">
        <f>+'AUGYTD '!O9-'JULYYTD '!O9</f>
        <v>2452.137999999999</v>
      </c>
      <c r="P9" s="70">
        <f>+'AUGYTD '!P9-'JULYYTD '!P9</f>
        <v>0</v>
      </c>
      <c r="Q9" s="70">
        <f>+'AUGYTD '!Q9-'JULYYTD '!Q9</f>
        <v>0</v>
      </c>
      <c r="S9" s="70">
        <f>+'AUGYTD '!S9-'JULYYTD '!S9</f>
        <v>0</v>
      </c>
    </row>
    <row r="10" spans="1:19" ht="12.75" customHeight="1" outlineLevel="4" x14ac:dyDescent="0.2">
      <c r="A10" s="67" t="s">
        <v>49</v>
      </c>
      <c r="B10" s="71">
        <f>B8+B9</f>
        <v>23217.956999999973</v>
      </c>
      <c r="C10" s="63"/>
      <c r="D10" s="71">
        <f t="shared" ref="D10:M10" si="0">D8+D9</f>
        <v>25443.176999999974</v>
      </c>
      <c r="E10" s="71">
        <f t="shared" si="0"/>
        <v>2154.7839999999815</v>
      </c>
      <c r="F10" s="71">
        <f t="shared" si="0"/>
        <v>5265.0749999999907</v>
      </c>
      <c r="G10" s="71">
        <f t="shared" si="0"/>
        <v>12434.078000000001</v>
      </c>
      <c r="H10" s="71">
        <f t="shared" si="0"/>
        <v>655.36099999999942</v>
      </c>
      <c r="I10" s="71">
        <f t="shared" si="0"/>
        <v>-3.0329999999999999</v>
      </c>
      <c r="J10" s="71">
        <f t="shared" si="0"/>
        <v>-181.14400000000015</v>
      </c>
      <c r="K10" s="71">
        <f t="shared" si="0"/>
        <v>8.4419999999999789</v>
      </c>
      <c r="L10" s="71">
        <f t="shared" si="0"/>
        <v>0</v>
      </c>
      <c r="M10" s="71">
        <f t="shared" si="0"/>
        <v>0</v>
      </c>
      <c r="N10" s="71">
        <f>N8</f>
        <v>0</v>
      </c>
      <c r="O10" s="71">
        <f>O8+O9</f>
        <v>5006.7290000000012</v>
      </c>
      <c r="P10" s="71">
        <f>P8+P9</f>
        <v>189.84800000000001</v>
      </c>
      <c r="Q10" s="71">
        <f>Q8+Q9</f>
        <v>-86.962999999999937</v>
      </c>
      <c r="S10" s="71">
        <f>S8+S9</f>
        <v>-2225.2199999999993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5478.1549999999988</v>
      </c>
      <c r="C12" s="63"/>
      <c r="D12" s="68">
        <f t="shared" ref="D12:D18" si="2">SUM(E12:M12)+O12+P12+Q12</f>
        <v>5478.1549999999988</v>
      </c>
      <c r="E12" s="68">
        <f>+'AUGYTD '!E12-'JULYYTD '!E12</f>
        <v>4020.4179999999978</v>
      </c>
      <c r="F12" s="68">
        <f>+'AUGYTD '!F12-'JULYYTD '!F12</f>
        <v>1457.737000000001</v>
      </c>
      <c r="G12" s="68">
        <f>+'AUGYTD '!G12-'JULYYTD '!G12</f>
        <v>0</v>
      </c>
      <c r="H12" s="68">
        <f>+'AUGYTD '!H12-'JULYYTD '!H12</f>
        <v>0</v>
      </c>
      <c r="I12" s="68">
        <f>+'AUGYTD '!I12-'JULYYTD '!I12</f>
        <v>0</v>
      </c>
      <c r="J12" s="68">
        <f>+'AUGYTD '!J12-'JULYYTD '!J12</f>
        <v>0</v>
      </c>
      <c r="K12" s="68">
        <f>+'AUGYTD '!K12-'JULYYTD '!K12</f>
        <v>0</v>
      </c>
      <c r="L12" s="68">
        <f>+'AUGYTD '!L12-'JULYYTD '!L12</f>
        <v>0</v>
      </c>
      <c r="M12" s="68">
        <f>+'AUGYTD '!M12-'JULYYTD '!M12</f>
        <v>0</v>
      </c>
      <c r="N12" s="68">
        <f t="shared" ref="N12:N18" si="3">M12+L12</f>
        <v>0</v>
      </c>
      <c r="O12" s="68">
        <f>+'AUGYTD '!O12-'JULYYTD '!O12</f>
        <v>0</v>
      </c>
      <c r="P12" s="68">
        <f>+'AUGYTD '!P12-'JULYYTD '!P12</f>
        <v>0</v>
      </c>
      <c r="Q12" s="68">
        <f>+'AUGYTD '!Q12-'JULYYTD '!Q12</f>
        <v>0</v>
      </c>
      <c r="S12" s="68">
        <f>+'AUGYTD '!S12-'JULYYTD '!S12</f>
        <v>0</v>
      </c>
    </row>
    <row r="13" spans="1:19" ht="12.75" customHeight="1" outlineLevel="4" x14ac:dyDescent="0.2">
      <c r="A13" s="62" t="s">
        <v>6</v>
      </c>
      <c r="B13" s="63">
        <f t="shared" si="1"/>
        <v>2136.954999999999</v>
      </c>
      <c r="C13" s="63"/>
      <c r="D13" s="68">
        <f t="shared" si="2"/>
        <v>2131.8919999999989</v>
      </c>
      <c r="E13" s="68">
        <f>+'AUGYTD '!E13-'JULYYTD '!E13</f>
        <v>1919.8869999999988</v>
      </c>
      <c r="F13" s="68">
        <f>+'AUGYTD '!F13-'JULYYTD '!F13</f>
        <v>194.65900000000011</v>
      </c>
      <c r="G13" s="68">
        <f>+'AUGYTD '!G13-'JULYYTD '!G13</f>
        <v>0</v>
      </c>
      <c r="H13" s="68">
        <f>+'AUGYTD '!H13-'JULYYTD '!H13</f>
        <v>17.953000000000031</v>
      </c>
      <c r="I13" s="68">
        <f>+'AUGYTD '!I13-'JULYYTD '!I13</f>
        <v>0</v>
      </c>
      <c r="J13" s="68">
        <f>+'AUGYTD '!J13-'JULYYTD '!J13</f>
        <v>0</v>
      </c>
      <c r="K13" s="68">
        <f>+'AUGYTD '!K13-'JULYYTD '!K13</f>
        <v>-0.60700000000000021</v>
      </c>
      <c r="L13" s="68">
        <f>+'AUGYTD '!L13-'JULYYTD '!L13</f>
        <v>0</v>
      </c>
      <c r="M13" s="68">
        <f>+'AUGYTD '!M13-'JULYYTD '!M13</f>
        <v>0</v>
      </c>
      <c r="N13" s="68">
        <f t="shared" si="3"/>
        <v>0</v>
      </c>
      <c r="O13" s="68">
        <f>+'AUGYTD '!O13-'JULYYTD '!O13</f>
        <v>0</v>
      </c>
      <c r="P13" s="68">
        <f>+'AUGYTD '!P13-'JULYYTD '!P13</f>
        <v>0</v>
      </c>
      <c r="Q13" s="68">
        <f>+'AUGYTD '!Q13-'JULYYTD '!Q13</f>
        <v>0</v>
      </c>
      <c r="S13" s="68">
        <f>+'AUGYTD '!S13-'JULYYTD '!S13</f>
        <v>5.0629999999999882</v>
      </c>
    </row>
    <row r="14" spans="1:19" ht="12.75" customHeight="1" outlineLevel="4" x14ac:dyDescent="0.2">
      <c r="A14" s="67" t="s">
        <v>22</v>
      </c>
      <c r="B14" s="63">
        <f t="shared" si="1"/>
        <v>0</v>
      </c>
      <c r="C14" s="63"/>
      <c r="D14" s="68">
        <f t="shared" si="2"/>
        <v>0</v>
      </c>
      <c r="E14" s="68">
        <f>+'AUGYTD '!E14-'JULYYTD '!E14</f>
        <v>0</v>
      </c>
      <c r="F14" s="68">
        <f>+'AUGYTD '!F14-'JULYYTD '!F14</f>
        <v>0</v>
      </c>
      <c r="G14" s="68">
        <f>+'AUGYTD '!G14-'JULYYTD '!G14</f>
        <v>0</v>
      </c>
      <c r="H14" s="68">
        <f>+'AUGYTD '!H14-'JULYYTD '!H14</f>
        <v>0</v>
      </c>
      <c r="I14" s="68">
        <f>+'AUGYTD '!I14-'JULYYTD '!I14</f>
        <v>0</v>
      </c>
      <c r="J14" s="68">
        <f>+'AUGYTD '!J14-'JULYYTD '!J14</f>
        <v>0</v>
      </c>
      <c r="K14" s="68">
        <f>+'AUGYTD '!K14-'JULYYTD '!K14</f>
        <v>0</v>
      </c>
      <c r="L14" s="68">
        <f>+'AUGYTD '!L14-'JULYYTD '!L14</f>
        <v>0</v>
      </c>
      <c r="M14" s="68">
        <f>+'AUGYTD '!M14-'JULYYTD '!M14</f>
        <v>0</v>
      </c>
      <c r="N14" s="68">
        <f t="shared" si="3"/>
        <v>0</v>
      </c>
      <c r="O14" s="68">
        <f>+'AUGYTD '!O14-'JULYYTD '!O14</f>
        <v>0</v>
      </c>
      <c r="P14" s="68">
        <f>+'AUGYTD '!P14-'JULYYTD '!P14</f>
        <v>0</v>
      </c>
      <c r="Q14" s="68">
        <f>+'AUGYTD '!Q14-'JULYYTD '!Q14</f>
        <v>0</v>
      </c>
      <c r="S14" s="68">
        <f>+'AUGYTD '!S14-'JULYYTD '!S14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+'AUGYTD '!E15-'JULYYTD '!E15</f>
        <v>0</v>
      </c>
      <c r="F15" s="68">
        <f>+'AUGYTD '!F15-'JULYYTD '!F15</f>
        <v>0</v>
      </c>
      <c r="G15" s="68">
        <f>+'AUGYTD '!G15-'JULYYTD '!G15</f>
        <v>0</v>
      </c>
      <c r="H15" s="68">
        <f>+'AUGYTD '!H15-'JULYYTD '!H15</f>
        <v>0</v>
      </c>
      <c r="I15" s="68">
        <f>+'AUGYTD '!I15-'JULYYTD '!I15</f>
        <v>0</v>
      </c>
      <c r="J15" s="68">
        <f>+'AUGYTD '!J15-'JULYYTD '!J15</f>
        <v>0</v>
      </c>
      <c r="K15" s="68">
        <f>+'AUGYTD '!K15-'JULYYTD '!K15</f>
        <v>0</v>
      </c>
      <c r="L15" s="68">
        <f>+'AUGYTD '!L15-'JULYYTD '!L15</f>
        <v>0</v>
      </c>
      <c r="M15" s="68">
        <f>+'AUGYTD '!M15-'JULYYTD '!M15</f>
        <v>0</v>
      </c>
      <c r="N15" s="68">
        <f t="shared" si="3"/>
        <v>0</v>
      </c>
      <c r="O15" s="68">
        <f>+'AUGYTD '!O15-'JULYYTD '!O15</f>
        <v>0</v>
      </c>
      <c r="P15" s="68">
        <f>+'AUGYTD '!P15-'JULYYTD '!P15</f>
        <v>0</v>
      </c>
      <c r="Q15" s="68">
        <f>+'AUGYTD '!Q15-'JULYYTD '!Q15</f>
        <v>0</v>
      </c>
      <c r="S15" s="68">
        <f>+'AUGYTD '!S15-'JULYYTD '!S15</f>
        <v>0</v>
      </c>
    </row>
    <row r="16" spans="1:19" ht="12.75" customHeight="1" outlineLevel="4" x14ac:dyDescent="0.2">
      <c r="A16" s="67" t="s">
        <v>38</v>
      </c>
      <c r="B16" s="63">
        <f t="shared" si="1"/>
        <v>-13259.28</v>
      </c>
      <c r="C16" s="63"/>
      <c r="D16" s="68">
        <f t="shared" si="2"/>
        <v>-13572.451000000001</v>
      </c>
      <c r="E16" s="68">
        <f>+'AUGYTD '!E16-'JULYYTD '!E16</f>
        <v>-386.99400000000014</v>
      </c>
      <c r="F16" s="68">
        <f>+'AUGYTD '!F16-'JULYYTD '!F16</f>
        <v>0</v>
      </c>
      <c r="G16" s="68">
        <f>+'AUGYTD '!G16-'JULYYTD '!G16</f>
        <v>-12434.078000000001</v>
      </c>
      <c r="H16" s="68">
        <f>+'AUGYTD '!H16-'JULYYTD '!H16</f>
        <v>-751.37899999999991</v>
      </c>
      <c r="I16" s="68">
        <f>+'AUGYTD '!I16-'JULYYTD '!I16</f>
        <v>0</v>
      </c>
      <c r="J16" s="68">
        <f>+'AUGYTD '!J16-'JULYYTD '!J16</f>
        <v>0</v>
      </c>
      <c r="K16" s="68">
        <f>+'AUGYTD '!K16-'JULYYTD '!K16</f>
        <v>0</v>
      </c>
      <c r="L16" s="68">
        <f>+'AUGYTD '!L16-'JULYYTD '!L16</f>
        <v>0</v>
      </c>
      <c r="M16" s="68">
        <f>+'AUGYTD '!M16-'JULYYTD '!M16</f>
        <v>0</v>
      </c>
      <c r="N16" s="68">
        <f t="shared" si="3"/>
        <v>0</v>
      </c>
      <c r="O16" s="68">
        <f>+'AUGYTD '!O16-'JULYYTD '!O16</f>
        <v>0</v>
      </c>
      <c r="P16" s="68">
        <f>+'AUGYTD '!P16-'JULYYTD '!P16</f>
        <v>0</v>
      </c>
      <c r="Q16" s="68">
        <f>+'AUGYTD '!Q16-'JULYYTD '!Q16</f>
        <v>0</v>
      </c>
      <c r="S16" s="68">
        <f>+'AUGYTD '!S16-'JULYYTD '!S16</f>
        <v>313.17099999999999</v>
      </c>
    </row>
    <row r="17" spans="1:19" ht="12.75" customHeight="1" outlineLevel="4" x14ac:dyDescent="0.2">
      <c r="A17" s="67" t="s">
        <v>39</v>
      </c>
      <c r="B17" s="63">
        <f t="shared" si="1"/>
        <v>2552</v>
      </c>
      <c r="C17" s="63"/>
      <c r="D17" s="68">
        <f t="shared" si="2"/>
        <v>817</v>
      </c>
      <c r="E17" s="68">
        <f>+'AUGYTD '!E17-'JULYYTD '!E17</f>
        <v>0</v>
      </c>
      <c r="F17" s="68">
        <f>+'AUGYTD '!F17-'JULYYTD '!F17</f>
        <v>0</v>
      </c>
      <c r="G17" s="68">
        <f>+'AUGYTD '!G17-'JULYYTD '!G17</f>
        <v>0</v>
      </c>
      <c r="H17" s="68">
        <f>+'AUGYTD '!H17-'JULYYTD '!H17</f>
        <v>817</v>
      </c>
      <c r="I17" s="68">
        <f>+'AUGYTD '!I17-'JULYYTD '!I17</f>
        <v>0</v>
      </c>
      <c r="J17" s="68">
        <f>+'AUGYTD '!J17-'JULYYTD '!J17</f>
        <v>0</v>
      </c>
      <c r="K17" s="68">
        <f>+'AUGYTD '!K17-'JULYYTD '!K17</f>
        <v>0</v>
      </c>
      <c r="L17" s="68">
        <f>+'AUGYTD '!L17-'JULYYTD '!L17</f>
        <v>0</v>
      </c>
      <c r="M17" s="68">
        <f>+'AUGYTD '!M17-'JULYYTD '!M17</f>
        <v>0</v>
      </c>
      <c r="N17" s="68">
        <f t="shared" si="3"/>
        <v>0</v>
      </c>
      <c r="O17" s="68">
        <f>+'AUGYTD '!O17-'JULYYTD '!O17</f>
        <v>0</v>
      </c>
      <c r="P17" s="68">
        <f>+'AUGYTD '!P17-'JULYYTD '!P17</f>
        <v>0</v>
      </c>
      <c r="Q17" s="68">
        <f>+'AUGYTD '!Q17-'JULYYTD '!Q17</f>
        <v>0</v>
      </c>
      <c r="S17" s="68">
        <f>+'AUGYTD '!S17-'JULYYTD '!S17</f>
        <v>1735</v>
      </c>
    </row>
    <row r="18" spans="1:19" ht="12.75" customHeight="1" outlineLevel="4" x14ac:dyDescent="0.2">
      <c r="A18" s="67" t="s">
        <v>32</v>
      </c>
      <c r="B18" s="69">
        <f t="shared" si="1"/>
        <v>-3549</v>
      </c>
      <c r="C18" s="63"/>
      <c r="D18" s="68">
        <f t="shared" si="2"/>
        <v>-3548</v>
      </c>
      <c r="E18" s="68">
        <f>+'AUGYTD '!E18-'JULYYTD '!E18</f>
        <v>-2786</v>
      </c>
      <c r="F18" s="68">
        <f>+'AUGYTD '!F18-'JULYYTD '!F18</f>
        <v>477</v>
      </c>
      <c r="G18" s="68">
        <f>+'AUGYTD '!G18-'JULYYTD '!G18</f>
        <v>0</v>
      </c>
      <c r="H18" s="68">
        <f>+'AUGYTD '!H18-'JULYYTD '!H18</f>
        <v>0</v>
      </c>
      <c r="I18" s="68">
        <f>+'AUGYTD '!I18-'JULYYTD '!I18</f>
        <v>-14</v>
      </c>
      <c r="J18" s="68">
        <f>+'AUGYTD '!J18-'JULYYTD '!J18</f>
        <v>253</v>
      </c>
      <c r="K18" s="68">
        <f>+'AUGYTD '!K18-'JULYYTD '!K18</f>
        <v>17</v>
      </c>
      <c r="L18" s="68">
        <f>+'AUGYTD '!L18-'JULYYTD '!L18</f>
        <v>0</v>
      </c>
      <c r="M18" s="68">
        <f>+'AUGYTD '!M18-'JULYYTD '!M18</f>
        <v>0</v>
      </c>
      <c r="N18" s="68">
        <f t="shared" si="3"/>
        <v>0</v>
      </c>
      <c r="O18" s="68">
        <f>+'AUGYTD '!O18-'JULYYTD '!O18</f>
        <v>-1228</v>
      </c>
      <c r="P18" s="68">
        <f>+'AUGYTD '!P18-'JULYYTD '!P18</f>
        <v>0</v>
      </c>
      <c r="Q18" s="68">
        <f>+'AUGYTD '!Q18-'JULYYTD '!Q18</f>
        <v>-267</v>
      </c>
      <c r="S18" s="68">
        <f>+'AUGYTD '!S18-'JULYYTD '!S18</f>
        <v>-1</v>
      </c>
    </row>
    <row r="19" spans="1:19" ht="12.75" customHeight="1" outlineLevel="4" x14ac:dyDescent="0.2">
      <c r="A19" s="62" t="s">
        <v>31</v>
      </c>
      <c r="B19" s="73">
        <f>SUM(B10:B18)</f>
        <v>16576.786999999968</v>
      </c>
      <c r="C19" s="63"/>
      <c r="D19" s="73">
        <f t="shared" ref="D19:Q19" si="4">SUM(D10:D18)</f>
        <v>16749.772999999972</v>
      </c>
      <c r="E19" s="73">
        <f t="shared" si="4"/>
        <v>4922.0949999999775</v>
      </c>
      <c r="F19" s="73">
        <f t="shared" si="4"/>
        <v>7394.4709999999923</v>
      </c>
      <c r="G19" s="73">
        <f t="shared" si="4"/>
        <v>0</v>
      </c>
      <c r="H19" s="73">
        <f t="shared" si="4"/>
        <v>738.93499999999949</v>
      </c>
      <c r="I19" s="73">
        <f t="shared" si="4"/>
        <v>-17.033000000000001</v>
      </c>
      <c r="J19" s="73">
        <f t="shared" si="4"/>
        <v>71.855999999999852</v>
      </c>
      <c r="K19" s="73">
        <f t="shared" si="4"/>
        <v>24.83499999999998</v>
      </c>
      <c r="L19" s="73">
        <f t="shared" si="4"/>
        <v>0</v>
      </c>
      <c r="M19" s="73">
        <f t="shared" si="4"/>
        <v>0</v>
      </c>
      <c r="N19" s="73">
        <f t="shared" si="4"/>
        <v>0</v>
      </c>
      <c r="O19" s="73">
        <f t="shared" si="4"/>
        <v>3778.7290000000012</v>
      </c>
      <c r="P19" s="73">
        <f t="shared" si="4"/>
        <v>189.84800000000001</v>
      </c>
      <c r="Q19" s="73">
        <f t="shared" si="4"/>
        <v>-353.96299999999997</v>
      </c>
      <c r="S19" s="73">
        <f>SUM(S10:S18)</f>
        <v>-172.98599999999919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5">D22+S22</f>
        <v>-5062</v>
      </c>
      <c r="C22" s="63"/>
      <c r="D22" s="68">
        <f t="shared" ref="D22:D30" si="6">SUM(E22:M22)+O22+P22+Q22</f>
        <v>-4999</v>
      </c>
      <c r="E22" s="68">
        <f>+'AUGYTD '!E22-'JULYYTD '!E22</f>
        <v>-711</v>
      </c>
      <c r="F22" s="68">
        <f>+'AUGYTD '!F22-'JULYYTD '!F22</f>
        <v>-3260</v>
      </c>
      <c r="G22" s="68">
        <f>+'AUGYTD '!G22-'JULYYTD '!G22</f>
        <v>0</v>
      </c>
      <c r="H22" s="68">
        <f>+'AUGYTD '!H22-'JULYYTD '!H22</f>
        <v>5</v>
      </c>
      <c r="I22" s="68">
        <f>+'AUGYTD '!I22-'JULYYTD '!I22</f>
        <v>0</v>
      </c>
      <c r="J22" s="68">
        <f>+'AUGYTD '!J22-'JULYYTD '!J22</f>
        <v>0</v>
      </c>
      <c r="K22" s="68">
        <f>+'AUGYTD '!K22-'JULYYTD '!K22</f>
        <v>0</v>
      </c>
      <c r="L22" s="68">
        <f>+'AUGYTD '!L22-'JULYYTD '!L22</f>
        <v>0</v>
      </c>
      <c r="M22" s="68">
        <f>+'AUGYTD '!M22-'JULYYTD '!M22</f>
        <v>0</v>
      </c>
      <c r="N22" s="68">
        <f t="shared" ref="N22:N30" si="7">M22+L22</f>
        <v>0</v>
      </c>
      <c r="O22" s="68">
        <f>+'AUGYTD '!O22-'JULYYTD '!O22</f>
        <v>-1206</v>
      </c>
      <c r="P22" s="68">
        <f>+'AUGYTD '!P22-'JULYYTD '!P22</f>
        <v>0</v>
      </c>
      <c r="Q22" s="68">
        <f>+'AUGYTD '!Q22-'JULYYTD '!Q22</f>
        <v>173</v>
      </c>
      <c r="S22" s="68">
        <f>+'AUGYTD '!S22-'JULYYTD '!S22</f>
        <v>-63</v>
      </c>
    </row>
    <row r="23" spans="1:19" ht="12.75" customHeight="1" outlineLevel="4" x14ac:dyDescent="0.2">
      <c r="A23" s="67" t="s">
        <v>20</v>
      </c>
      <c r="B23" s="63">
        <f t="shared" si="5"/>
        <v>-2547</v>
      </c>
      <c r="C23" s="63"/>
      <c r="D23" s="68">
        <f t="shared" si="6"/>
        <v>-2547</v>
      </c>
      <c r="E23" s="68">
        <f>+'AUGYTD '!E23-'JULYYTD '!E23</f>
        <v>5833</v>
      </c>
      <c r="F23" s="68">
        <f>+'AUGYTD '!F23-'JULYYTD '!F23</f>
        <v>-4818</v>
      </c>
      <c r="G23" s="68">
        <f>+'AUGYTD '!G23-'JULYYTD '!G23</f>
        <v>0</v>
      </c>
      <c r="H23" s="68">
        <f>+'AUGYTD '!H23-'JULYYTD '!H23</f>
        <v>-1423</v>
      </c>
      <c r="I23" s="68">
        <f>+'AUGYTD '!I23-'JULYYTD '!I23</f>
        <v>16</v>
      </c>
      <c r="J23" s="68">
        <f>+'AUGYTD '!J23-'JULYYTD '!J23</f>
        <v>0</v>
      </c>
      <c r="K23" s="68">
        <f>+'AUGYTD '!K23-'JULYYTD '!K23</f>
        <v>-77</v>
      </c>
      <c r="L23" s="68">
        <f>+'AUGYTD '!L23-'JULYYTD '!L23</f>
        <v>0</v>
      </c>
      <c r="M23" s="68">
        <f>+'AUGYTD '!M23-'JULYYTD '!M23</f>
        <v>0</v>
      </c>
      <c r="N23" s="68">
        <f t="shared" si="7"/>
        <v>0</v>
      </c>
      <c r="O23" s="68">
        <f>+'AUGYTD '!O23-'JULYYTD '!O23</f>
        <v>-5298</v>
      </c>
      <c r="P23" s="68">
        <f>+'AUGYTD '!P23-'JULYYTD '!P23</f>
        <v>3009</v>
      </c>
      <c r="Q23" s="68">
        <f>+'AUGYTD '!Q23-'JULYYTD '!Q23</f>
        <v>211</v>
      </c>
      <c r="S23" s="68">
        <f>+'AUGYTD '!S23-'JULYYTD '!S23</f>
        <v>0</v>
      </c>
    </row>
    <row r="24" spans="1:19" ht="12.75" customHeight="1" outlineLevel="4" x14ac:dyDescent="0.2">
      <c r="A24" s="67" t="s">
        <v>9</v>
      </c>
      <c r="B24" s="63">
        <f t="shared" si="5"/>
        <v>19</v>
      </c>
      <c r="C24" s="63"/>
      <c r="D24" s="68">
        <f t="shared" si="6"/>
        <v>19</v>
      </c>
      <c r="E24" s="68">
        <f>+'AUGYTD '!E24-'JULYYTD '!E24</f>
        <v>14</v>
      </c>
      <c r="F24" s="68">
        <f>+'AUGYTD '!F24-'JULYYTD '!F24</f>
        <v>3</v>
      </c>
      <c r="G24" s="68">
        <f>+'AUGYTD '!G24-'JULYYTD '!G24</f>
        <v>0</v>
      </c>
      <c r="H24" s="68">
        <f>+'AUGYTD '!H24-'JULYYTD '!H24</f>
        <v>0</v>
      </c>
      <c r="I24" s="68">
        <f>+'AUGYTD '!I24-'JULYYTD '!I24</f>
        <v>2</v>
      </c>
      <c r="J24" s="68">
        <f>+'AUGYTD '!J24-'JULYYTD '!J24</f>
        <v>0</v>
      </c>
      <c r="K24" s="68">
        <f>+'AUGYTD '!K24-'JULYYTD '!K24</f>
        <v>0</v>
      </c>
      <c r="L24" s="68">
        <f>+'AUGYTD '!L24-'JULYYTD '!L24</f>
        <v>0</v>
      </c>
      <c r="M24" s="68">
        <f>+'AUGYTD '!M24-'JULYYTD '!M24</f>
        <v>0</v>
      </c>
      <c r="N24" s="68">
        <f t="shared" si="7"/>
        <v>0</v>
      </c>
      <c r="O24" s="68">
        <f>+'AUGYTD '!O24-'JULYYTD '!O24</f>
        <v>0</v>
      </c>
      <c r="P24" s="68">
        <f>+'AUGYTD '!P24-'JULYYTD '!P24</f>
        <v>0</v>
      </c>
      <c r="Q24" s="68">
        <f>+'AUGYTD '!Q24-'JULYYTD '!Q24</f>
        <v>0</v>
      </c>
      <c r="S24" s="68">
        <f>+'AUGYTD '!S24-'JULYYTD '!S24</f>
        <v>0</v>
      </c>
    </row>
    <row r="25" spans="1:19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+'AUGYTD '!E25-'JULYYTD '!E25</f>
        <v>0</v>
      </c>
      <c r="F25" s="68">
        <f>+'AUGYTD '!F25-'JULYYTD '!F25</f>
        <v>1</v>
      </c>
      <c r="G25" s="68">
        <f>+'AUGYTD '!G25-'JULYYTD '!G25</f>
        <v>0</v>
      </c>
      <c r="H25" s="68">
        <f>+'AUGYTD '!H25-'JULYYTD '!H25</f>
        <v>0</v>
      </c>
      <c r="I25" s="68">
        <f>+'AUGYTD '!I25-'JULYYTD '!I25</f>
        <v>0</v>
      </c>
      <c r="J25" s="68">
        <f>+'AUGYTD '!J25-'JULYYTD '!J25</f>
        <v>0</v>
      </c>
      <c r="K25" s="68">
        <f>+'AUGYTD '!K25-'JULYYTD '!K25</f>
        <v>0</v>
      </c>
      <c r="L25" s="68">
        <f>+'AUGYTD '!L25-'JULYYTD '!L25</f>
        <v>0</v>
      </c>
      <c r="M25" s="68">
        <f>+'AUGYTD '!M25-'JULYYTD '!M25</f>
        <v>0</v>
      </c>
      <c r="N25" s="68">
        <f t="shared" si="7"/>
        <v>0</v>
      </c>
      <c r="O25" s="68">
        <f>+'AUGYTD '!O25-'JULYYTD '!O25</f>
        <v>0</v>
      </c>
      <c r="P25" s="68">
        <f>+'AUGYTD '!P25-'JULYYTD '!P25</f>
        <v>0</v>
      </c>
      <c r="Q25" s="68">
        <f>+'AUGYTD '!Q25-'JULYYTD '!Q25</f>
        <v>0</v>
      </c>
      <c r="S25" s="68">
        <f>+'AUGYTD '!S25-'JULYYTD '!S25</f>
        <v>0</v>
      </c>
    </row>
    <row r="26" spans="1:19" ht="12.75" customHeight="1" outlineLevel="4" x14ac:dyDescent="0.2">
      <c r="A26" s="67" t="s">
        <v>11</v>
      </c>
      <c r="B26" s="63">
        <f t="shared" si="5"/>
        <v>-17420</v>
      </c>
      <c r="C26" s="63"/>
      <c r="D26" s="68">
        <f t="shared" si="6"/>
        <v>-17411</v>
      </c>
      <c r="E26" s="68">
        <f>+'AUGYTD '!E26-'JULYYTD '!E26</f>
        <v>-14829</v>
      </c>
      <c r="F26" s="68">
        <f>+'AUGYTD '!F26-'JULYYTD '!F26</f>
        <v>-344</v>
      </c>
      <c r="G26" s="68">
        <f>+'AUGYTD '!G26-'JULYYTD '!G26</f>
        <v>0</v>
      </c>
      <c r="H26" s="68">
        <f>+'AUGYTD '!H26-'JULYYTD '!H26</f>
        <v>-252</v>
      </c>
      <c r="I26" s="68">
        <f>+'AUGYTD '!I26-'JULYYTD '!I26</f>
        <v>0</v>
      </c>
      <c r="J26" s="68">
        <f>+'AUGYTD '!J26-'JULYYTD '!J26</f>
        <v>0</v>
      </c>
      <c r="K26" s="68">
        <f>+'AUGYTD '!K26-'JULYYTD '!K26</f>
        <v>-11</v>
      </c>
      <c r="L26" s="68">
        <f>+'AUGYTD '!L26-'JULYYTD '!L26</f>
        <v>0</v>
      </c>
      <c r="M26" s="68">
        <f>+'AUGYTD '!M26-'JULYYTD '!M26</f>
        <v>0</v>
      </c>
      <c r="N26" s="68">
        <f t="shared" si="7"/>
        <v>0</v>
      </c>
      <c r="O26" s="68">
        <f>+'AUGYTD '!O26-'JULYYTD '!O26</f>
        <v>-538</v>
      </c>
      <c r="P26" s="68">
        <f>+'AUGYTD '!P26-'JULYYTD '!P26</f>
        <v>-1425</v>
      </c>
      <c r="Q26" s="68">
        <f>+'AUGYTD '!Q26-'JULYYTD '!Q26</f>
        <v>-12</v>
      </c>
      <c r="S26" s="68">
        <f>+'AUGYTD '!S26-'JULYYTD '!S26</f>
        <v>-9</v>
      </c>
    </row>
    <row r="27" spans="1:19" ht="12.75" customHeight="1" outlineLevel="4" x14ac:dyDescent="0.2">
      <c r="A27" s="62" t="s">
        <v>12</v>
      </c>
      <c r="B27" s="63">
        <f t="shared" si="5"/>
        <v>-4235</v>
      </c>
      <c r="C27" s="63"/>
      <c r="D27" s="68">
        <f t="shared" si="6"/>
        <v>-4235</v>
      </c>
      <c r="E27" s="68">
        <f>+'AUGYTD '!E27-'JULYYTD '!E27</f>
        <v>-3981</v>
      </c>
      <c r="F27" s="68">
        <f>+'AUGYTD '!F27-'JULYYTD '!F27</f>
        <v>-254</v>
      </c>
      <c r="G27" s="68">
        <f>+'AUGYTD '!G27-'JULYYTD '!G27</f>
        <v>0</v>
      </c>
      <c r="H27" s="68">
        <f>+'AUGYTD '!H27-'JULYYTD '!H27</f>
        <v>0</v>
      </c>
      <c r="I27" s="68">
        <f>+'AUGYTD '!I27-'JULYYTD '!I27</f>
        <v>0</v>
      </c>
      <c r="J27" s="68">
        <f>+'AUGYTD '!J27-'JULYYTD '!J27</f>
        <v>0</v>
      </c>
      <c r="K27" s="68">
        <f>+'AUGYTD '!K27-'JULYYTD '!K27</f>
        <v>0</v>
      </c>
      <c r="L27" s="68">
        <f>+'AUGYTD '!L27-'JULYYTD '!L27</f>
        <v>0</v>
      </c>
      <c r="M27" s="68">
        <f>+'AUGYTD '!M27-'JULYYTD '!M27</f>
        <v>0</v>
      </c>
      <c r="N27" s="68">
        <f t="shared" si="7"/>
        <v>0</v>
      </c>
      <c r="O27" s="68">
        <f>+'AUGYTD '!O27-'JULYYTD '!O27</f>
        <v>0</v>
      </c>
      <c r="P27" s="68">
        <f>+'AUGYTD '!P27-'JULYYTD '!P27</f>
        <v>0</v>
      </c>
      <c r="Q27" s="68">
        <f>+'AUGYTD '!Q27-'JULYYTD '!Q27</f>
        <v>0</v>
      </c>
      <c r="S27" s="68">
        <f>+'AUGYTD '!S27-'JULYYTD '!S27</f>
        <v>0</v>
      </c>
    </row>
    <row r="28" spans="1:19" ht="12.75" customHeight="1" outlineLevel="4" x14ac:dyDescent="0.2">
      <c r="A28" s="67" t="s">
        <v>13</v>
      </c>
      <c r="B28" s="63">
        <f t="shared" si="5"/>
        <v>2972</v>
      </c>
      <c r="C28" s="63"/>
      <c r="D28" s="68">
        <f t="shared" si="6"/>
        <v>2960</v>
      </c>
      <c r="E28" s="68">
        <f>+'AUGYTD '!E28-'JULYYTD '!E28</f>
        <v>2213</v>
      </c>
      <c r="F28" s="68">
        <f>+'AUGYTD '!F28-'JULYYTD '!F28</f>
        <v>691</v>
      </c>
      <c r="G28" s="68">
        <f>+'AUGYTD '!G28-'JULYYTD '!G28</f>
        <v>0</v>
      </c>
      <c r="H28" s="68">
        <f>+'AUGYTD '!H28-'JULYYTD '!H28</f>
        <v>-1</v>
      </c>
      <c r="I28" s="68">
        <f>+'AUGYTD '!I28-'JULYYTD '!I28</f>
        <v>0</v>
      </c>
      <c r="J28" s="68">
        <f>+'AUGYTD '!J28-'JULYYTD '!J28</f>
        <v>0</v>
      </c>
      <c r="K28" s="68">
        <f>+'AUGYTD '!K28-'JULYYTD '!K28</f>
        <v>0</v>
      </c>
      <c r="L28" s="68">
        <f>+'AUGYTD '!L28-'JULYYTD '!L28</f>
        <v>0</v>
      </c>
      <c r="M28" s="68">
        <f>+'AUGYTD '!M28-'JULYYTD '!M28</f>
        <v>0</v>
      </c>
      <c r="N28" s="68">
        <f t="shared" si="7"/>
        <v>0</v>
      </c>
      <c r="O28" s="68">
        <f>+'AUGYTD '!O28-'JULYYTD '!O28</f>
        <v>56</v>
      </c>
      <c r="P28" s="68">
        <f>+'AUGYTD '!P28-'JULYYTD '!P28</f>
        <v>0</v>
      </c>
      <c r="Q28" s="68">
        <f>+'AUGYTD '!Q28-'JULYYTD '!Q28</f>
        <v>1</v>
      </c>
      <c r="S28" s="68">
        <f>+'AUGYTD '!S28-'JULYYTD '!S28</f>
        <v>12</v>
      </c>
    </row>
    <row r="29" spans="1:19" ht="12.75" customHeight="1" outlineLevel="4" x14ac:dyDescent="0.2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+'AUGYTD '!E29-'JULYYTD '!E29</f>
        <v>2875</v>
      </c>
      <c r="F29" s="68">
        <f>+'AUGYTD '!F29-'JULYYTD '!F29</f>
        <v>1073</v>
      </c>
      <c r="G29" s="68">
        <f>+'AUGYTD '!G29-'JULYYTD '!G29</f>
        <v>0</v>
      </c>
      <c r="H29" s="68">
        <f>+'AUGYTD '!H29-'JULYYTD '!H29</f>
        <v>0</v>
      </c>
      <c r="I29" s="68">
        <f>+'AUGYTD '!I29-'JULYYTD '!I29</f>
        <v>0</v>
      </c>
      <c r="J29" s="68">
        <f>+'AUGYTD '!J29-'JULYYTD '!J29</f>
        <v>0</v>
      </c>
      <c r="K29" s="68">
        <f>+'AUGYTD '!K29-'JULYYTD '!K29</f>
        <v>0</v>
      </c>
      <c r="L29" s="68">
        <f>+'AUGYTD '!L29-'JULYYTD '!L29</f>
        <v>0</v>
      </c>
      <c r="M29" s="68">
        <f>+'AUGYTD '!M29-'JULYYTD '!M29</f>
        <v>0</v>
      </c>
      <c r="N29" s="68">
        <f t="shared" si="7"/>
        <v>0</v>
      </c>
      <c r="O29" s="68">
        <f>+'AUGYTD '!O29-'JULYYTD '!O29</f>
        <v>0</v>
      </c>
      <c r="P29" s="68">
        <f>+'AUGYTD '!P29-'JULYYTD '!P29</f>
        <v>0</v>
      </c>
      <c r="Q29" s="68">
        <f>+'AUGYTD '!Q29-'JULYYTD '!Q29</f>
        <v>0</v>
      </c>
      <c r="S29" s="68">
        <f>+'AUGYTD '!S29-'JULYYTD '!S29</f>
        <v>0</v>
      </c>
    </row>
    <row r="30" spans="1:19" ht="12.75" customHeight="1" outlineLevel="4" x14ac:dyDescent="0.2">
      <c r="A30" s="67" t="s">
        <v>30</v>
      </c>
      <c r="B30" s="69">
        <f t="shared" si="5"/>
        <v>-1008</v>
      </c>
      <c r="C30" s="63"/>
      <c r="D30" s="68">
        <f t="shared" si="6"/>
        <v>-1008</v>
      </c>
      <c r="E30" s="68">
        <f>+'AUGYTD '!E30-'JULYYTD '!E30</f>
        <v>-1733</v>
      </c>
      <c r="F30" s="68">
        <f>+'AUGYTD '!F30-'JULYYTD '!F30</f>
        <v>113</v>
      </c>
      <c r="G30" s="68">
        <f>+'AUGYTD '!G30-'JULYYTD '!G30</f>
        <v>0</v>
      </c>
      <c r="H30" s="68">
        <f>+'AUGYTD '!H30-'JULYYTD '!H30</f>
        <v>426</v>
      </c>
      <c r="I30" s="68">
        <f>+'AUGYTD '!I30-'JULYYTD '!I30</f>
        <v>0</v>
      </c>
      <c r="J30" s="68">
        <f>+'AUGYTD '!J30-'JULYYTD '!J30</f>
        <v>0</v>
      </c>
      <c r="K30" s="68">
        <f>+'AUGYTD '!K30-'JULYYTD '!K30</f>
        <v>0</v>
      </c>
      <c r="L30" s="68">
        <f>+'AUGYTD '!L30-'JULYYTD '!L30</f>
        <v>0</v>
      </c>
      <c r="M30" s="68">
        <f>+'AUGYTD '!M30-'JULYYTD '!M30</f>
        <v>0</v>
      </c>
      <c r="N30" s="68">
        <f t="shared" si="7"/>
        <v>0</v>
      </c>
      <c r="O30" s="68">
        <f>+'AUGYTD '!O30-'JULYYTD '!O30</f>
        <v>186</v>
      </c>
      <c r="P30" s="68">
        <f>+'AUGYTD '!P30-'JULYYTD '!P30</f>
        <v>0</v>
      </c>
      <c r="Q30" s="68">
        <f>+'AUGYTD '!Q30-'JULYYTD '!Q30</f>
        <v>0</v>
      </c>
      <c r="S30" s="68">
        <f>+'AUGYTD '!S30-'JULYYTD '!S30</f>
        <v>0</v>
      </c>
    </row>
    <row r="31" spans="1:19" ht="12.75" customHeight="1" outlineLevel="4" x14ac:dyDescent="0.2">
      <c r="A31" s="67" t="s">
        <v>33</v>
      </c>
      <c r="B31" s="84">
        <f>SUM(B21:B30)</f>
        <v>-23332</v>
      </c>
      <c r="C31" s="74"/>
      <c r="D31" s="84">
        <f t="shared" ref="D31:Q31" si="8">SUM(D21:D30)</f>
        <v>-23272</v>
      </c>
      <c r="E31" s="84">
        <f t="shared" si="8"/>
        <v>-10319</v>
      </c>
      <c r="F31" s="84">
        <f t="shared" si="8"/>
        <v>-6795</v>
      </c>
      <c r="G31" s="84">
        <f t="shared" si="8"/>
        <v>0</v>
      </c>
      <c r="H31" s="84">
        <f t="shared" si="8"/>
        <v>-1245</v>
      </c>
      <c r="I31" s="84">
        <f t="shared" si="8"/>
        <v>18</v>
      </c>
      <c r="J31" s="84">
        <f t="shared" si="8"/>
        <v>0</v>
      </c>
      <c r="K31" s="84">
        <f t="shared" si="8"/>
        <v>-88</v>
      </c>
      <c r="L31" s="84">
        <f t="shared" si="8"/>
        <v>0</v>
      </c>
      <c r="M31" s="84">
        <f t="shared" si="8"/>
        <v>0</v>
      </c>
      <c r="N31" s="84">
        <f t="shared" si="8"/>
        <v>0</v>
      </c>
      <c r="O31" s="84">
        <f t="shared" si="8"/>
        <v>-6800</v>
      </c>
      <c r="P31" s="84">
        <f t="shared" si="8"/>
        <v>1584</v>
      </c>
      <c r="Q31" s="84">
        <f t="shared" si="8"/>
        <v>373</v>
      </c>
      <c r="S31" s="84">
        <f>SUM(S21:S30)</f>
        <v>-60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-6755.2130000000325</v>
      </c>
      <c r="C33" s="63"/>
      <c r="D33" s="75">
        <f>D19+D31</f>
        <v>-6522.2270000000281</v>
      </c>
      <c r="E33" s="75">
        <f>E19+E31</f>
        <v>-5396.9050000000225</v>
      </c>
      <c r="F33" s="75">
        <f t="shared" ref="F33:M33" si="9">F19+F31</f>
        <v>599.47099999999227</v>
      </c>
      <c r="G33" s="75">
        <f t="shared" si="9"/>
        <v>0</v>
      </c>
      <c r="H33" s="75">
        <f t="shared" si="9"/>
        <v>-506.06500000000051</v>
      </c>
      <c r="I33" s="75">
        <f t="shared" si="9"/>
        <v>0.96699999999999875</v>
      </c>
      <c r="J33" s="75">
        <f t="shared" si="9"/>
        <v>71.855999999999852</v>
      </c>
      <c r="K33" s="75">
        <f t="shared" si="9"/>
        <v>-63.16500000000002</v>
      </c>
      <c r="L33" s="75">
        <f t="shared" si="9"/>
        <v>0</v>
      </c>
      <c r="M33" s="75">
        <f t="shared" si="9"/>
        <v>0</v>
      </c>
      <c r="N33" s="75">
        <f>N19+N31</f>
        <v>0</v>
      </c>
      <c r="O33" s="75">
        <f>O19+O31</f>
        <v>-3021.2709999999988</v>
      </c>
      <c r="P33" s="75">
        <f>P19+P31</f>
        <v>1773.848</v>
      </c>
      <c r="Q33" s="75">
        <f>Q19+Q31</f>
        <v>19.037000000000035</v>
      </c>
      <c r="S33" s="75">
        <f>S19+S31</f>
        <v>-232.98599999999919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10">D36+S36</f>
        <v>185</v>
      </c>
      <c r="C36" s="63"/>
      <c r="D36" s="68">
        <f t="shared" ref="D36:D41" si="11">SUM(E36:M36)+O36+P36+Q36</f>
        <v>185</v>
      </c>
      <c r="E36" s="68">
        <f>+'AUGYTD '!E36-'JULYYTD '!E36</f>
        <v>68</v>
      </c>
      <c r="F36" s="68">
        <f>+'AUGYTD '!F36-'JULYYTD '!F36</f>
        <v>117</v>
      </c>
      <c r="G36" s="68">
        <f>+'AUGYTD '!G36-'JULYYTD '!G36</f>
        <v>0</v>
      </c>
      <c r="H36" s="68">
        <f>+'AUGYTD '!H36-'JULYYTD '!H36</f>
        <v>0</v>
      </c>
      <c r="I36" s="68">
        <f>+'AUGYTD '!I36-'JULYYTD '!I36</f>
        <v>0</v>
      </c>
      <c r="J36" s="68">
        <f>+'AUGYTD '!J36-'JULYYTD '!J36</f>
        <v>0</v>
      </c>
      <c r="K36" s="68">
        <f>+'AUGYTD '!K36-'JULYYTD '!K36</f>
        <v>0</v>
      </c>
      <c r="L36" s="68">
        <f>+'AUGYTD '!L36-'JULYYTD '!L36</f>
        <v>0</v>
      </c>
      <c r="M36" s="68">
        <f>+'AUGYTD '!M36-'JULYYTD '!M36</f>
        <v>0</v>
      </c>
      <c r="N36" s="68">
        <f t="shared" ref="N36:N41" si="12">M36+L36</f>
        <v>0</v>
      </c>
      <c r="O36" s="68">
        <f>+'AUGYTD '!O36-'JULYYTD '!O36</f>
        <v>0</v>
      </c>
      <c r="P36" s="68">
        <f>+'AUGYTD '!P36-'JULYYTD '!P36</f>
        <v>0</v>
      </c>
      <c r="Q36" s="68">
        <f>+'AUGYTD '!Q36-'JULYYTD '!Q36</f>
        <v>0</v>
      </c>
      <c r="S36" s="68">
        <f>+'AUGYTD '!S36-'JULYYTD '!S36</f>
        <v>0</v>
      </c>
    </row>
    <row r="37" spans="1:19" ht="12.75" customHeight="1" outlineLevel="4" x14ac:dyDescent="0.2">
      <c r="A37" s="62" t="s">
        <v>17</v>
      </c>
      <c r="B37" s="63">
        <f t="shared" si="10"/>
        <v>-10422</v>
      </c>
      <c r="C37" s="63"/>
      <c r="D37" s="68">
        <f t="shared" si="11"/>
        <v>-10422</v>
      </c>
      <c r="E37" s="68">
        <f>+'AUGYTD '!E37-'JULYYTD '!E37</f>
        <v>-7353</v>
      </c>
      <c r="F37" s="68">
        <f>+'AUGYTD '!F37-'JULYYTD '!F37</f>
        <v>-3069</v>
      </c>
      <c r="G37" s="68">
        <f>+'AUGYTD '!G37-'JULYYTD '!G37</f>
        <v>0</v>
      </c>
      <c r="H37" s="68">
        <f>+'AUGYTD '!H37-'JULYYTD '!H37</f>
        <v>0</v>
      </c>
      <c r="I37" s="68">
        <f>+'AUGYTD '!I37-'JULYYTD '!I37</f>
        <v>0</v>
      </c>
      <c r="J37" s="68">
        <f>+'AUGYTD '!J37-'JULYYTD '!J37</f>
        <v>0</v>
      </c>
      <c r="K37" s="68">
        <f>+'AUGYTD '!K37-'JULYYTD '!K37</f>
        <v>0</v>
      </c>
      <c r="L37" s="68">
        <f>+'AUGYTD '!L37-'JULYYTD '!L37</f>
        <v>0</v>
      </c>
      <c r="M37" s="68">
        <f>+'AUGYTD '!M37-'JULYYTD '!M37</f>
        <v>0</v>
      </c>
      <c r="N37" s="68">
        <f t="shared" si="12"/>
        <v>0</v>
      </c>
      <c r="O37" s="68">
        <f>+'AUGYTD '!O37-'JULYYTD '!O37</f>
        <v>0</v>
      </c>
      <c r="P37" s="68">
        <f>+'AUGYTD '!P37-'JULYYTD '!P37</f>
        <v>0</v>
      </c>
      <c r="Q37" s="68">
        <f>+'AUGYTD '!Q37-'JULYYTD '!Q37</f>
        <v>0</v>
      </c>
      <c r="S37" s="68">
        <f>+'AUGYTD '!S37-'JULYYTD '!S37</f>
        <v>0</v>
      </c>
    </row>
    <row r="38" spans="1:19" ht="12.75" customHeight="1" outlineLevel="4" x14ac:dyDescent="0.2">
      <c r="A38" s="62" t="s">
        <v>104</v>
      </c>
      <c r="B38" s="63">
        <f t="shared" si="10"/>
        <v>9226</v>
      </c>
      <c r="C38" s="63"/>
      <c r="D38" s="68">
        <f t="shared" si="11"/>
        <v>9226</v>
      </c>
      <c r="E38" s="68">
        <f>+'AUGYTD '!E38-'JULYYTD '!E38</f>
        <v>9189</v>
      </c>
      <c r="F38" s="68">
        <f>+'AUGYTD '!F38-'JULYYTD '!F38</f>
        <v>37</v>
      </c>
      <c r="G38" s="68">
        <f>+'AUGYTD '!G38-'JULYYTD '!G38</f>
        <v>0</v>
      </c>
      <c r="H38" s="68">
        <f>+'AUGYTD '!H38-'JULYYTD '!H38</f>
        <v>0</v>
      </c>
      <c r="I38" s="68">
        <f>+'AUGYTD '!I38-'JULYYTD '!I38</f>
        <v>0</v>
      </c>
      <c r="J38" s="68">
        <f>+'AUGYTD '!J38-'JULYYTD '!J38</f>
        <v>0</v>
      </c>
      <c r="K38" s="68">
        <f>+'AUGYTD '!K38-'JULYYTD '!K38</f>
        <v>0</v>
      </c>
      <c r="L38" s="68">
        <f>+'AUGYTD '!L38-'JULYYTD '!L38</f>
        <v>0</v>
      </c>
      <c r="M38" s="68">
        <f>+'AUGYTD '!M38-'JULYYTD '!M38</f>
        <v>0</v>
      </c>
      <c r="N38" s="68">
        <f t="shared" si="12"/>
        <v>0</v>
      </c>
      <c r="O38" s="68">
        <f>+'AUGYTD '!O38-'JULYYTD '!O38</f>
        <v>0</v>
      </c>
      <c r="P38" s="68">
        <f>+'AUGYTD '!P38-'JULYYTD '!P38</f>
        <v>0</v>
      </c>
      <c r="Q38" s="68">
        <f>+'AUGYTD '!Q38-'JULYYTD '!Q38</f>
        <v>0</v>
      </c>
      <c r="S38" s="68">
        <f>+'AUGYTD '!S38-'JULYYTD '!S38</f>
        <v>0</v>
      </c>
    </row>
    <row r="39" spans="1:19" ht="12.75" customHeight="1" outlineLevel="4" x14ac:dyDescent="0.2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+'AUGYTD '!E39-'JULYYTD '!E39</f>
        <v>0</v>
      </c>
      <c r="F39" s="68">
        <f>+'AUGYTD '!F39-'JULYYTD '!F39</f>
        <v>0</v>
      </c>
      <c r="G39" s="68">
        <f>+'AUGYTD '!G39-'JULYYTD '!G39</f>
        <v>0</v>
      </c>
      <c r="H39" s="68">
        <f>+'AUGYTD '!H39-'JULYYTD '!H39</f>
        <v>0</v>
      </c>
      <c r="I39" s="68">
        <f>+'AUGYTD '!I39-'JULYYTD '!I39</f>
        <v>0</v>
      </c>
      <c r="J39" s="68">
        <f>+'AUGYTD '!J39-'JULYYTD '!J39</f>
        <v>0</v>
      </c>
      <c r="K39" s="68">
        <f>+'AUGYTD '!K39-'JULYYTD '!K39</f>
        <v>0</v>
      </c>
      <c r="L39" s="68">
        <f>+'AUGYTD '!L39-'JULYYTD '!L39</f>
        <v>0</v>
      </c>
      <c r="M39" s="68">
        <f>+'AUGYTD '!M39-'JULYYTD '!M39</f>
        <v>0</v>
      </c>
      <c r="N39" s="68">
        <f t="shared" si="12"/>
        <v>0</v>
      </c>
      <c r="O39" s="68">
        <f>+'AUGYTD '!O39-'JULYYTD '!O39</f>
        <v>0</v>
      </c>
      <c r="P39" s="68">
        <f>+'AUGYTD '!P39-'JULYYTD '!P39</f>
        <v>0</v>
      </c>
      <c r="Q39" s="68">
        <f>+'AUGYTD '!Q39-'JULYYTD '!Q39</f>
        <v>0</v>
      </c>
      <c r="S39" s="68">
        <f>+'AUGYTD '!S39-'JULYYTD '!S39</f>
        <v>0</v>
      </c>
    </row>
    <row r="40" spans="1:19" ht="12.75" customHeight="1" outlineLevel="4" x14ac:dyDescent="0.2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+'AUGYTD '!E40-'JULYYTD '!E40</f>
        <v>0</v>
      </c>
      <c r="F40" s="68">
        <f>+'AUGYTD '!F40-'JULYYTD '!F40</f>
        <v>0</v>
      </c>
      <c r="G40" s="68">
        <f>+'AUGYTD '!G40-'JULYYTD '!G40</f>
        <v>0</v>
      </c>
      <c r="H40" s="68">
        <f>+'AUGYTD '!H40-'JULYYTD '!H40</f>
        <v>0</v>
      </c>
      <c r="I40" s="68">
        <f>+'AUGYTD '!I40-'JULYYTD '!I40</f>
        <v>0</v>
      </c>
      <c r="J40" s="68">
        <f>+'AUGYTD '!J40-'JULYYTD '!J40</f>
        <v>0</v>
      </c>
      <c r="K40" s="68">
        <f>+'AUGYTD '!K40-'JULYYTD '!K40</f>
        <v>0</v>
      </c>
      <c r="L40" s="68">
        <f>+'AUGYTD '!L40-'JULYYTD '!L40</f>
        <v>0</v>
      </c>
      <c r="M40" s="68">
        <f>+'AUGYTD '!M40-'JULYYTD '!M40</f>
        <v>0</v>
      </c>
      <c r="N40" s="68">
        <f t="shared" si="12"/>
        <v>0</v>
      </c>
      <c r="O40" s="68">
        <f>+'AUGYTD '!O40-'JULYYTD '!O40</f>
        <v>0</v>
      </c>
      <c r="P40" s="68">
        <f>+'AUGYTD '!P40-'JULYYTD '!P40</f>
        <v>0</v>
      </c>
      <c r="Q40" s="68">
        <f>+'AUGYTD '!Q40-'JULYYTD '!Q40</f>
        <v>0</v>
      </c>
      <c r="S40" s="68">
        <f>+'AUGYTD '!S40-'JULYYTD '!S40</f>
        <v>0</v>
      </c>
    </row>
    <row r="41" spans="1:19" ht="12.75" customHeight="1" outlineLevel="4" x14ac:dyDescent="0.2">
      <c r="A41" s="67" t="s">
        <v>41</v>
      </c>
      <c r="B41" s="69">
        <f t="shared" si="10"/>
        <v>56</v>
      </c>
      <c r="C41" s="63"/>
      <c r="D41" s="70">
        <f t="shared" si="11"/>
        <v>56</v>
      </c>
      <c r="E41" s="70">
        <f>+'AUGYTD '!E41-'JULYYTD '!E41</f>
        <v>56</v>
      </c>
      <c r="F41" s="70">
        <f>+'AUGYTD '!F41-'JULYYTD '!F41</f>
        <v>0</v>
      </c>
      <c r="G41" s="70">
        <f>+'AUGYTD '!G41-'JULYYTD '!G41</f>
        <v>0</v>
      </c>
      <c r="H41" s="70">
        <f>+'AUGYTD '!H41-'JULYYTD '!H41</f>
        <v>0</v>
      </c>
      <c r="I41" s="70">
        <f>+'AUGYTD '!I41-'JULYYTD '!I41</f>
        <v>0</v>
      </c>
      <c r="J41" s="70">
        <f>+'AUGYTD '!J41-'JULYYTD '!J41</f>
        <v>0</v>
      </c>
      <c r="K41" s="70">
        <f>+'AUGYTD '!K41-'JULYYTD '!K41</f>
        <v>0</v>
      </c>
      <c r="L41" s="70">
        <f>+'AUGYTD '!L41-'JULYYTD '!L41</f>
        <v>0</v>
      </c>
      <c r="M41" s="70">
        <f>+'AUGYTD '!M41-'JULYYTD '!M41</f>
        <v>0</v>
      </c>
      <c r="N41" s="70">
        <f t="shared" si="12"/>
        <v>0</v>
      </c>
      <c r="O41" s="70">
        <f>+'AUGYTD '!O41-'JULYYTD '!O41</f>
        <v>0</v>
      </c>
      <c r="P41" s="70">
        <f>+'AUGYTD '!P41-'JULYYTD '!P41</f>
        <v>0</v>
      </c>
      <c r="Q41" s="70">
        <f>+'AUGYTD '!Q41-'JULYYTD '!Q41</f>
        <v>0</v>
      </c>
      <c r="S41" s="70">
        <f>+'AUGYTD '!S41-'JULYYTD '!S41</f>
        <v>0</v>
      </c>
    </row>
    <row r="42" spans="1:19" ht="12.75" customHeight="1" outlineLevel="3" x14ac:dyDescent="0.2">
      <c r="A42" s="62" t="s">
        <v>18</v>
      </c>
      <c r="B42" s="75">
        <f t="shared" ref="B42:Q42" si="13">SUM(B36:B41)</f>
        <v>-955</v>
      </c>
      <c r="C42" s="77">
        <f t="shared" si="13"/>
        <v>0</v>
      </c>
      <c r="D42" s="75">
        <f t="shared" si="13"/>
        <v>-955</v>
      </c>
      <c r="E42" s="75">
        <f t="shared" si="13"/>
        <v>1960</v>
      </c>
      <c r="F42" s="75">
        <f t="shared" si="13"/>
        <v>-2915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5">
        <f>SUM(S36:S41)</f>
        <v>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+'AUGYTD '!E45-'JULYYTD '!E45</f>
        <v>0</v>
      </c>
      <c r="F45" s="68">
        <f>+'AUGYTD '!F45-'JULYYTD '!F45</f>
        <v>0</v>
      </c>
      <c r="G45" s="68">
        <f>+'AUGYTD '!G45-'JULYYTD '!G45</f>
        <v>0</v>
      </c>
      <c r="H45" s="68">
        <f>+'AUGYTD '!H45-'JULYYTD '!H45</f>
        <v>0</v>
      </c>
      <c r="I45" s="68">
        <f>+'AUGYTD '!I45-'JULYYTD '!I45</f>
        <v>0</v>
      </c>
      <c r="J45" s="68">
        <f>+'AUGYTD '!J45-'JULYYTD '!J45</f>
        <v>0</v>
      </c>
      <c r="K45" s="68">
        <f>+'AUGYTD '!K45-'JULYYTD '!K45</f>
        <v>0</v>
      </c>
      <c r="L45" s="68">
        <f>+'AUGYTD '!L45-'JULYYTD '!L45</f>
        <v>0</v>
      </c>
      <c r="M45" s="68">
        <f>+'AUGYTD '!M45-'JULYYTD '!M45</f>
        <v>0</v>
      </c>
      <c r="N45" s="68">
        <f>M45+L45</f>
        <v>0</v>
      </c>
      <c r="O45" s="68">
        <f>+'AUGYTD '!O45-'JULYYTD '!O45</f>
        <v>0</v>
      </c>
      <c r="P45" s="68">
        <f>+'AUGYTD '!P45-'JULYYTD '!P45</f>
        <v>0</v>
      </c>
      <c r="Q45" s="68">
        <f>+'AUGYTD '!Q45-'JULYYTD '!Q45</f>
        <v>0</v>
      </c>
      <c r="S45" s="68">
        <f>+'AUGYTD '!S45-'JULYYTD '!S45</f>
        <v>0</v>
      </c>
    </row>
    <row r="46" spans="1:19" ht="12.75" customHeight="1" outlineLevel="4" x14ac:dyDescent="0.2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+'AUGYTD '!E46-'JULYYTD '!E46</f>
        <v>0</v>
      </c>
      <c r="F46" s="68">
        <f>+'AUGYTD '!F46-'JULYYTD '!F46</f>
        <v>0</v>
      </c>
      <c r="G46" s="68">
        <f>+'AUGYTD '!G46-'JULYYTD '!G46</f>
        <v>0</v>
      </c>
      <c r="H46" s="68">
        <f>+'AUGYTD '!H46-'JULYYTD '!H46</f>
        <v>0</v>
      </c>
      <c r="I46" s="68">
        <f>+'AUGYTD '!I46-'JULYYTD '!I46</f>
        <v>0</v>
      </c>
      <c r="J46" s="68">
        <f>+'AUGYTD '!J46-'JULYYTD '!J46</f>
        <v>0</v>
      </c>
      <c r="K46" s="68">
        <f>+'AUGYTD '!K46-'JULYYTD '!K46</f>
        <v>0</v>
      </c>
      <c r="L46" s="68">
        <f>+'AUGYTD '!L46-'JULYYTD '!L46</f>
        <v>0</v>
      </c>
      <c r="M46" s="68">
        <f>+'AUGYTD '!M46-'JULYYTD '!M46</f>
        <v>0</v>
      </c>
      <c r="N46" s="68">
        <f>M46+L46</f>
        <v>0</v>
      </c>
      <c r="O46" s="68">
        <f>+'AUGYTD '!O46-'JULYYTD '!O46</f>
        <v>0</v>
      </c>
      <c r="P46" s="68">
        <f>+'AUGYTD '!P46-'JULYYTD '!P46</f>
        <v>0</v>
      </c>
      <c r="Q46" s="68">
        <f>+'AUGYTD '!Q46-'JULYYTD '!Q46</f>
        <v>0</v>
      </c>
      <c r="S46" s="68">
        <f>+'AUGYTD '!S46-'JULYYTD '!S46</f>
        <v>0</v>
      </c>
    </row>
    <row r="47" spans="1:19" ht="12.75" customHeight="1" outlineLevel="4" x14ac:dyDescent="0.2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+'AUGYTD '!E47-'JULYYTD '!E47</f>
        <v>0</v>
      </c>
      <c r="F47" s="68">
        <f>+'AUGYTD '!F47-'JULYYTD '!F47</f>
        <v>0</v>
      </c>
      <c r="G47" s="68">
        <f>+'AUGYTD '!G47-'JULYYTD '!G47</f>
        <v>0</v>
      </c>
      <c r="H47" s="68">
        <f>+'AUGYTD '!H47-'JULYYTD '!H47</f>
        <v>0</v>
      </c>
      <c r="I47" s="68">
        <f>+'AUGYTD '!I47-'JULYYTD '!I47</f>
        <v>0</v>
      </c>
      <c r="J47" s="68">
        <f>+'AUGYTD '!J47-'JULYYTD '!J47</f>
        <v>0</v>
      </c>
      <c r="K47" s="68">
        <f>+'AUGYTD '!K47-'JULYYTD '!K47</f>
        <v>0</v>
      </c>
      <c r="L47" s="68">
        <f>+'AUGYTD '!L47-'JULYYTD '!L47</f>
        <v>0</v>
      </c>
      <c r="M47" s="68">
        <f>+'AUGYTD '!M47-'JULYYTD '!M47</f>
        <v>0</v>
      </c>
      <c r="N47" s="68">
        <f>M47+L47</f>
        <v>0</v>
      </c>
      <c r="O47" s="68">
        <f>+'AUGYTD '!O47-'JULYYTD '!O47</f>
        <v>0</v>
      </c>
      <c r="P47" s="68">
        <f>+'AUGYTD '!P47-'JULYYTD '!P47</f>
        <v>0</v>
      </c>
      <c r="Q47" s="68">
        <f>+'AUGYTD '!Q47-'JULYYTD '!Q47</f>
        <v>0</v>
      </c>
      <c r="S47" s="68">
        <f>+'AUGYTD '!S47-'JULYYTD '!S47</f>
        <v>0</v>
      </c>
    </row>
    <row r="48" spans="1:19" ht="12.75" customHeight="1" outlineLevel="4" x14ac:dyDescent="0.2">
      <c r="A48" s="67" t="s">
        <v>48</v>
      </c>
      <c r="B48" s="63">
        <f>D48+S48</f>
        <v>-2533</v>
      </c>
      <c r="C48" s="63"/>
      <c r="D48" s="68">
        <f>SUM(E48:M48)+O48+P48+Q48</f>
        <v>0</v>
      </c>
      <c r="E48" s="68">
        <f>+'AUGYTD '!E48-'JULYYTD '!E48</f>
        <v>0</v>
      </c>
      <c r="F48" s="68">
        <f>+'AUGYTD '!F48-'JULYYTD '!F48</f>
        <v>0</v>
      </c>
      <c r="G48" s="68">
        <f>+'AUGYTD '!G48-'JULYYTD '!G48</f>
        <v>0</v>
      </c>
      <c r="H48" s="68">
        <f>+'AUGYTD '!H48-'JULYYTD '!H48</f>
        <v>0</v>
      </c>
      <c r="I48" s="68">
        <f>+'AUGYTD '!I48-'JULYYTD '!I48</f>
        <v>0</v>
      </c>
      <c r="J48" s="68">
        <f>+'AUGYTD '!J48-'JULYYTD '!J48</f>
        <v>0</v>
      </c>
      <c r="K48" s="68">
        <f>+'AUGYTD '!K48-'JULYYTD '!K48</f>
        <v>0</v>
      </c>
      <c r="L48" s="68">
        <f>+'AUGYTD '!L48-'JULYYTD '!L48</f>
        <v>0</v>
      </c>
      <c r="M48" s="68">
        <f>+'AUGYTD '!M48-'JULYYTD '!M48</f>
        <v>0</v>
      </c>
      <c r="N48" s="68">
        <f>M48+L48</f>
        <v>0</v>
      </c>
      <c r="O48" s="68">
        <f>+'AUGYTD '!O48-'JULYYTD '!O48</f>
        <v>0</v>
      </c>
      <c r="P48" s="68">
        <f>+'AUGYTD '!P48-'JULYYTD '!P48</f>
        <v>0</v>
      </c>
      <c r="Q48" s="68">
        <f>+'AUGYTD '!Q48-'JULYYTD '!Q48</f>
        <v>0</v>
      </c>
      <c r="S48" s="68">
        <f>+'AUGYTD '!S48-'JULYYTD '!S48</f>
        <v>-2533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+'AUGYTD '!E49-'JULYYTD '!E49</f>
        <v>0</v>
      </c>
      <c r="F49" s="68">
        <f>+'AUGYTD '!F49-'JULYYTD '!F49</f>
        <v>0</v>
      </c>
      <c r="G49" s="68">
        <f>+'AUGYTD '!G49-'JULYYTD '!G49</f>
        <v>0</v>
      </c>
      <c r="H49" s="68">
        <f>+'AUGYTD '!H49-'JULYYTD '!H49</f>
        <v>0</v>
      </c>
      <c r="I49" s="68">
        <f>+'AUGYTD '!I49-'JULYYTD '!I49</f>
        <v>0</v>
      </c>
      <c r="J49" s="68">
        <f>+'AUGYTD '!J49-'JULYYTD '!J49</f>
        <v>0</v>
      </c>
      <c r="K49" s="68">
        <f>+'AUGYTD '!K49-'JULYYTD '!K49</f>
        <v>0</v>
      </c>
      <c r="L49" s="68">
        <f>+'AUGYTD '!L49-'JULYYTD '!L49</f>
        <v>0</v>
      </c>
      <c r="M49" s="68">
        <f>+'AUGYTD '!M49-'JULYYTD '!M49</f>
        <v>0</v>
      </c>
      <c r="N49" s="68">
        <f>M49+L49</f>
        <v>0</v>
      </c>
      <c r="O49" s="68">
        <f>+'AUGYTD '!O49-'JULYYTD '!O49</f>
        <v>0</v>
      </c>
      <c r="P49" s="68">
        <f>+'AUGYTD '!P49-'JULYYTD '!P49</f>
        <v>0</v>
      </c>
      <c r="Q49" s="68">
        <f>+'AUGYTD '!Q49-'JULYYTD '!Q49</f>
        <v>0</v>
      </c>
      <c r="S49" s="68">
        <f>+'AUGYTD '!S49-'JULYYTD '!S49</f>
        <v>0</v>
      </c>
    </row>
    <row r="50" spans="1:19" ht="12.75" customHeight="1" outlineLevel="3" x14ac:dyDescent="0.2">
      <c r="A50" s="62" t="s">
        <v>19</v>
      </c>
      <c r="B50" s="79">
        <f>SUM(B45:B49)</f>
        <v>-2533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-2533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-10243.213000000032</v>
      </c>
      <c r="C52" s="63"/>
      <c r="D52" s="77">
        <f>D33+D42+D50</f>
        <v>-7477.2270000000281</v>
      </c>
      <c r="E52" s="77">
        <f>E33+E42+E50</f>
        <v>-3436.9050000000225</v>
      </c>
      <c r="F52" s="77">
        <f t="shared" ref="F52:M52" si="15">F33+F42+F50</f>
        <v>-2315.5290000000077</v>
      </c>
      <c r="G52" s="77">
        <f t="shared" si="15"/>
        <v>0</v>
      </c>
      <c r="H52" s="77">
        <f t="shared" si="15"/>
        <v>-506.06500000000051</v>
      </c>
      <c r="I52" s="77">
        <f t="shared" si="15"/>
        <v>0.96699999999999875</v>
      </c>
      <c r="J52" s="77">
        <f t="shared" si="15"/>
        <v>71.855999999999852</v>
      </c>
      <c r="K52" s="77">
        <f t="shared" si="15"/>
        <v>-63.16500000000002</v>
      </c>
      <c r="L52" s="77">
        <f t="shared" si="15"/>
        <v>0</v>
      </c>
      <c r="M52" s="77">
        <f t="shared" si="15"/>
        <v>0</v>
      </c>
      <c r="N52" s="77">
        <f>M52+L52</f>
        <v>0</v>
      </c>
      <c r="O52" s="77">
        <f>O33+O42+O50</f>
        <v>-3021.2709999999988</v>
      </c>
      <c r="P52" s="77">
        <f>P33+P42+P50</f>
        <v>1773.848</v>
      </c>
      <c r="Q52" s="77">
        <f>Q33+Q42+Q50</f>
        <v>19.037000000000035</v>
      </c>
      <c r="S52" s="77">
        <f>S33+S42+S50</f>
        <v>-2765.985999999999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-87</v>
      </c>
      <c r="C54" s="63"/>
      <c r="D54" s="70">
        <f>SUM(E54:M54)+O54+P54+Q54</f>
        <v>-83</v>
      </c>
      <c r="E54" s="70">
        <f>+'AUGYTD '!E54-'JULYYTD '!E54</f>
        <v>1</v>
      </c>
      <c r="F54" s="70">
        <f>+'AUGYTD '!F54-'JULYYTD '!F54</f>
        <v>0</v>
      </c>
      <c r="G54" s="70">
        <f>+'AUGYTD '!G54-'JULYYTD '!G54</f>
        <v>0</v>
      </c>
      <c r="H54" s="70">
        <f>+'AUGYTD '!H54-'JULYYTD '!H54</f>
        <v>0</v>
      </c>
      <c r="I54" s="70">
        <f>+'AUGYTD '!I54-'JULYYTD '!I54</f>
        <v>0</v>
      </c>
      <c r="J54" s="70">
        <f>+'AUGYTD '!J54-'JULYYTD '!J54</f>
        <v>0</v>
      </c>
      <c r="K54" s="70">
        <f>+'AUGYTD '!K54-'JULYYTD '!K54</f>
        <v>0</v>
      </c>
      <c r="L54" s="70">
        <f>+'AUGYTD '!L54-'JULYYTD '!L54</f>
        <v>0</v>
      </c>
      <c r="M54" s="70">
        <f>+'AUGYTD '!M54-'JULYYTD '!M54</f>
        <v>0</v>
      </c>
      <c r="N54" s="70">
        <f>M54+L54</f>
        <v>0</v>
      </c>
      <c r="O54" s="70">
        <f>+'AUGYTD '!O54-'JULYYTD '!O54</f>
        <v>0</v>
      </c>
      <c r="P54" s="70">
        <f>+'AUGYTD '!P54-'JULYYTD '!P54</f>
        <v>-84</v>
      </c>
      <c r="Q54" s="70">
        <f>+'AUGYTD '!Q54-'JULYYTD '!Q54</f>
        <v>0</v>
      </c>
      <c r="S54" s="70">
        <f>+'AUGYTD '!S54-'JULYYTD '!S54</f>
        <v>-4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-10156.213000000032</v>
      </c>
      <c r="C56" s="63"/>
      <c r="D56" s="81">
        <f t="shared" ref="D56:Q56" si="16">D52-D54</f>
        <v>-7394.2270000000281</v>
      </c>
      <c r="E56" s="81">
        <f t="shared" si="16"/>
        <v>-3437.9050000000225</v>
      </c>
      <c r="F56" s="81">
        <f t="shared" si="16"/>
        <v>-2315.5290000000077</v>
      </c>
      <c r="G56" s="81">
        <f t="shared" si="16"/>
        <v>0</v>
      </c>
      <c r="H56" s="81">
        <f t="shared" si="16"/>
        <v>-506.06500000000051</v>
      </c>
      <c r="I56" s="81">
        <f t="shared" si="16"/>
        <v>0.96699999999999875</v>
      </c>
      <c r="J56" s="81">
        <f t="shared" si="16"/>
        <v>71.855999999999852</v>
      </c>
      <c r="K56" s="81">
        <f t="shared" si="16"/>
        <v>-63.16500000000002</v>
      </c>
      <c r="L56" s="81">
        <f t="shared" si="16"/>
        <v>0</v>
      </c>
      <c r="M56" s="81">
        <f t="shared" si="16"/>
        <v>0</v>
      </c>
      <c r="N56" s="81">
        <f t="shared" si="16"/>
        <v>0</v>
      </c>
      <c r="O56" s="81">
        <f t="shared" si="16"/>
        <v>-3021.2709999999988</v>
      </c>
      <c r="P56" s="81">
        <f t="shared" si="16"/>
        <v>1857.848</v>
      </c>
      <c r="Q56" s="81">
        <f t="shared" si="16"/>
        <v>19.037000000000035</v>
      </c>
      <c r="S56" s="81">
        <f>S52-S54</f>
        <v>-2761.985999999999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-7</v>
      </c>
      <c r="C58" s="46"/>
      <c r="D58" s="70">
        <f>SUM(E58:Q58)</f>
        <v>-7</v>
      </c>
      <c r="E58" s="70">
        <f>+'AUGYTD '!E58-'JULYYTD '!E58</f>
        <v>-7</v>
      </c>
      <c r="F58" s="70">
        <f>+'AUGYTD '!F58-'JULYYTD '!F58</f>
        <v>0</v>
      </c>
      <c r="G58" s="70">
        <f>+'AUGYTD '!G58-'JULYYTD '!G58</f>
        <v>0</v>
      </c>
      <c r="H58" s="70">
        <f>+'AUGYTD '!H58-'JULYYTD '!H58</f>
        <v>0</v>
      </c>
      <c r="I58" s="70">
        <f>+'AUGYTD '!I58-'JULYYTD '!I58</f>
        <v>-1657</v>
      </c>
      <c r="J58" s="70">
        <f>+'AUGYTD '!J58-'JULYYTD '!J58</f>
        <v>8352</v>
      </c>
      <c r="K58" s="70">
        <f>+'AUGYTD '!K58-'JULYYTD '!K58</f>
        <v>-6695</v>
      </c>
      <c r="L58" s="70">
        <f>+'AUGYTD '!L58-'JULYYTD '!L58</f>
        <v>0</v>
      </c>
      <c r="M58" s="70">
        <f>+'AUGYTD '!M58-'JULYYTD '!M58</f>
        <v>0</v>
      </c>
      <c r="N58" s="70">
        <f>M58+L58</f>
        <v>0</v>
      </c>
      <c r="O58" s="70">
        <f>+'AUGYTD '!O58-'JULYYTD '!O58</f>
        <v>0</v>
      </c>
      <c r="P58" s="70">
        <f>+'AUGYTD '!P58-'JULYYTD '!P58</f>
        <v>0</v>
      </c>
      <c r="Q58" s="70">
        <f>+'AUGYTD '!Q58-'JULYYTD '!Q58</f>
        <v>0</v>
      </c>
      <c r="S58" s="70">
        <f>+'AUGYTD '!S58-'JULYYTD '!S58</f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-10163.213000000032</v>
      </c>
      <c r="C60" s="46"/>
      <c r="D60" s="81">
        <f>D56+D58</f>
        <v>-7401.2270000000281</v>
      </c>
      <c r="E60" s="81">
        <f>E56+E58</f>
        <v>-3444.9050000000225</v>
      </c>
      <c r="F60" s="81">
        <f t="shared" ref="F60:M60" si="17">F56+F58</f>
        <v>-2315.5290000000077</v>
      </c>
      <c r="G60" s="81">
        <f t="shared" si="17"/>
        <v>0</v>
      </c>
      <c r="H60" s="81">
        <f t="shared" si="17"/>
        <v>-506.06500000000051</v>
      </c>
      <c r="I60" s="81">
        <f t="shared" si="17"/>
        <v>-1656.0329999999999</v>
      </c>
      <c r="J60" s="81">
        <f t="shared" si="17"/>
        <v>8423.8559999999998</v>
      </c>
      <c r="K60" s="81">
        <f t="shared" si="17"/>
        <v>-6758.165</v>
      </c>
      <c r="L60" s="81">
        <f t="shared" si="17"/>
        <v>0</v>
      </c>
      <c r="M60" s="81">
        <f t="shared" si="17"/>
        <v>0</v>
      </c>
      <c r="N60" s="81">
        <f>M60+L60</f>
        <v>0</v>
      </c>
      <c r="O60" s="81">
        <f>O56+O58</f>
        <v>-3021.2709999999988</v>
      </c>
      <c r="P60" s="81">
        <f>P56+P58</f>
        <v>1857.848</v>
      </c>
      <c r="Q60" s="81">
        <f>Q56+Q58</f>
        <v>19.037000000000035</v>
      </c>
      <c r="S60" s="81">
        <f>S56+S58</f>
        <v>-2761.985999999999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H47" sqref="H47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124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180277.74199999994</v>
      </c>
      <c r="C8" s="63"/>
      <c r="D8" s="68">
        <f>SUM(E8:M8)+O8+P8+Q8</f>
        <v>182596.44999999995</v>
      </c>
      <c r="E8" s="68">
        <f>+'[17]08YTD  '!J65</f>
        <v>103638.30299999996</v>
      </c>
      <c r="F8" s="68">
        <f>+'[17]08YTD  '!K65</f>
        <v>40807.303999999989</v>
      </c>
      <c r="G8" s="68">
        <f>+'[17]08YTD  '!L65</f>
        <v>30845.435000000001</v>
      </c>
      <c r="H8" s="68">
        <f>+'[17]08YTD  '!M65</f>
        <v>2387.2119999999991</v>
      </c>
      <c r="I8" s="68">
        <f>+'[17]08YTD  '!N65</f>
        <v>-1.4149999999999998</v>
      </c>
      <c r="J8" s="68">
        <f>+'[17]08YTD  '!O65</f>
        <v>452.48999999999995</v>
      </c>
      <c r="K8" s="68">
        <f>+'[17]08YTD  '!P65</f>
        <v>87.922999999999973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+'[17]08YTD  '!Q65</f>
        <v>4534.1510000000017</v>
      </c>
      <c r="P8" s="68">
        <f>+'[17]08YTD  '!R65</f>
        <v>163.89400000000001</v>
      </c>
      <c r="Q8" s="68">
        <f>+'[17]08YTD  '!S65</f>
        <v>-318.84699999999998</v>
      </c>
      <c r="S8" s="68">
        <f>+'[15]AUG_YTD '!$H$8</f>
        <v>-2318.7079999999996</v>
      </c>
    </row>
    <row r="9" spans="1:19" ht="12.75" customHeight="1" outlineLevel="4" x14ac:dyDescent="0.2">
      <c r="A9" s="62" t="s">
        <v>29</v>
      </c>
      <c r="B9" s="69">
        <f>D9+S9</f>
        <v>18323.064000000002</v>
      </c>
      <c r="C9" s="63"/>
      <c r="D9" s="70">
        <f>SUM(E9:M9)+O9+P9+Q9</f>
        <v>18333.576000000001</v>
      </c>
      <c r="E9" s="70">
        <f>-'[17]08YTD  '!J72</f>
        <v>-9618.4080000000013</v>
      </c>
      <c r="F9" s="70">
        <f>-'[17]08YTD  '!K72</f>
        <v>81.711999999999847</v>
      </c>
      <c r="G9" s="70">
        <f>-'[17]08YTD  '!L72</f>
        <v>0</v>
      </c>
      <c r="H9" s="70">
        <f>-'[17]08YTD  '!M72</f>
        <v>2341.2539999999999</v>
      </c>
      <c r="I9" s="70">
        <f>-'[17]08YTD  '!N72</f>
        <v>0</v>
      </c>
      <c r="J9" s="70">
        <f>-'[17]08YTD  '!O72</f>
        <v>216.93399999999997</v>
      </c>
      <c r="K9" s="70">
        <f>-'[17]08YTD 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-'[17]08YTD  '!Q72</f>
        <v>25312.084000000003</v>
      </c>
      <c r="P9" s="70">
        <f>-'[17]08YTD  '!R72</f>
        <v>0</v>
      </c>
      <c r="Q9" s="70">
        <f>-'[17]08YTD  '!S72</f>
        <v>0</v>
      </c>
      <c r="S9" s="70">
        <f>-'[18]08YTD '!$N$73</f>
        <v>-10.511999999999999</v>
      </c>
    </row>
    <row r="10" spans="1:19" ht="12.75" customHeight="1" outlineLevel="4" x14ac:dyDescent="0.2">
      <c r="A10" s="67" t="s">
        <v>49</v>
      </c>
      <c r="B10" s="71">
        <f>B8+B9</f>
        <v>198600.80599999995</v>
      </c>
      <c r="C10" s="63"/>
      <c r="D10" s="71">
        <f t="shared" ref="D10:Q10" si="0">D8+D9</f>
        <v>200930.02599999995</v>
      </c>
      <c r="E10" s="71">
        <f t="shared" si="0"/>
        <v>94019.89499999996</v>
      </c>
      <c r="F10" s="71">
        <f t="shared" si="0"/>
        <v>40889.015999999989</v>
      </c>
      <c r="G10" s="71">
        <f t="shared" si="0"/>
        <v>30845.435000000001</v>
      </c>
      <c r="H10" s="71">
        <f t="shared" si="0"/>
        <v>4728.4659999999985</v>
      </c>
      <c r="I10" s="71">
        <f t="shared" si="0"/>
        <v>-1.4149999999999998</v>
      </c>
      <c r="J10" s="71">
        <f t="shared" si="0"/>
        <v>669.42399999999998</v>
      </c>
      <c r="K10" s="71">
        <f t="shared" si="0"/>
        <v>87.922999999999973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29846.235000000004</v>
      </c>
      <c r="P10" s="71">
        <f t="shared" si="0"/>
        <v>163.89400000000001</v>
      </c>
      <c r="Q10" s="71">
        <f t="shared" si="0"/>
        <v>-318.84699999999998</v>
      </c>
      <c r="S10" s="71">
        <f>S8+S9</f>
        <v>-2329.2199999999998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43534.648999999998</v>
      </c>
      <c r="C12" s="63"/>
      <c r="D12" s="68">
        <f t="shared" ref="D12:D18" si="2">SUM(E12:M12)+O12+P12+Q12</f>
        <v>43534.648999999998</v>
      </c>
      <c r="E12" s="68">
        <f>+'[17]08YTD  '!J36</f>
        <v>30808.224999999999</v>
      </c>
      <c r="F12" s="68">
        <f>+'[17]08YTD  '!K36</f>
        <v>12726.424000000001</v>
      </c>
      <c r="G12" s="68">
        <f>+'[17]08YTD  '!L36</f>
        <v>0</v>
      </c>
      <c r="H12" s="68">
        <f>+'[17]08YTD  '!M36</f>
        <v>0</v>
      </c>
      <c r="I12" s="68">
        <f>+'[17]08YTD  '!N36</f>
        <v>0</v>
      </c>
      <c r="J12" s="68">
        <f>+'[17]08YTD  '!O36</f>
        <v>0</v>
      </c>
      <c r="K12" s="68">
        <f>+'[17]08YTD 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+'[17]08YTD  '!Q36</f>
        <v>0</v>
      </c>
      <c r="P12" s="68">
        <f>+'[17]08YTD  '!R36</f>
        <v>0</v>
      </c>
      <c r="Q12" s="68">
        <f>+'[17]08YTD  '!S36</f>
        <v>0</v>
      </c>
      <c r="S12" s="68">
        <f>+'[15]AUG_YTD '!$H$11</f>
        <v>0</v>
      </c>
    </row>
    <row r="13" spans="1:19" ht="12.75" customHeight="1" outlineLevel="4" x14ac:dyDescent="0.2">
      <c r="A13" s="62" t="s">
        <v>6</v>
      </c>
      <c r="B13" s="63">
        <f t="shared" si="1"/>
        <v>25358.663000000004</v>
      </c>
      <c r="C13" s="63"/>
      <c r="D13" s="68">
        <f t="shared" si="2"/>
        <v>26049.374000000003</v>
      </c>
      <c r="E13" s="68">
        <f>+'[17]08YTD  '!J62</f>
        <v>25580.784</v>
      </c>
      <c r="F13" s="68">
        <f>+'[17]08YTD  '!K62</f>
        <v>-250.40099999999984</v>
      </c>
      <c r="G13" s="68">
        <f>+'[17]08YTD  '!L62</f>
        <v>0</v>
      </c>
      <c r="H13" s="68">
        <f>+'[17]08YTD  '!M62</f>
        <v>450.93700000000001</v>
      </c>
      <c r="I13" s="68">
        <f>+'[17]08YTD  '!N62</f>
        <v>0</v>
      </c>
      <c r="J13" s="68">
        <f>+'[17]08YTD  '!O62</f>
        <v>0</v>
      </c>
      <c r="K13" s="68">
        <f>+'[17]08YTD  '!P62</f>
        <v>-4.8570000000000002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+'[17]08YTD  '!Q62</f>
        <v>272.911</v>
      </c>
      <c r="P13" s="68">
        <f>+'[17]08YTD  '!R62</f>
        <v>0</v>
      </c>
      <c r="Q13" s="68">
        <f>+'[17]08YTD  '!S62</f>
        <v>0</v>
      </c>
      <c r="S13" s="68">
        <f>+'[15]AUG_YTD '!$H$12</f>
        <v>-690.71100000000001</v>
      </c>
    </row>
    <row r="14" spans="1:19" ht="12.75" customHeight="1" outlineLevel="4" x14ac:dyDescent="0.2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-'[17]08YTD  '!J46</f>
        <v>-8.11</v>
      </c>
      <c r="F14" s="68">
        <f>-'[17]08YTD  '!K46</f>
        <v>2E-3</v>
      </c>
      <c r="G14" s="68">
        <f>-'[17]08YTD  '!L46</f>
        <v>0</v>
      </c>
      <c r="H14" s="68">
        <f>-'[17]08YTD  '!M46</f>
        <v>0</v>
      </c>
      <c r="I14" s="68">
        <f>-'[17]08YTD  '!N46</f>
        <v>0</v>
      </c>
      <c r="J14" s="68">
        <f>-'[17]08YTD  '!O46</f>
        <v>0</v>
      </c>
      <c r="K14" s="68">
        <f>-'[17]08YTD 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-'[17]08YTD  '!Q46</f>
        <v>0</v>
      </c>
      <c r="P14" s="68">
        <f>-'[17]08YTD  '!R46</f>
        <v>0</v>
      </c>
      <c r="Q14" s="68">
        <f>-'[17]08YTD  '!S46</f>
        <v>0</v>
      </c>
      <c r="S14" s="68">
        <f>+'[15]AUG_YTD '!$H$13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1"/>
        <v>-37999.090000000004</v>
      </c>
      <c r="C16" s="63"/>
      <c r="D16" s="68">
        <f t="shared" si="2"/>
        <v>-38225.710000000006</v>
      </c>
      <c r="E16" s="68">
        <f>-'[17]08YTD  '!J43</f>
        <v>-2590.1590000000001</v>
      </c>
      <c r="F16" s="68">
        <f>-'[17]08YTD  '!K43</f>
        <v>0</v>
      </c>
      <c r="G16" s="68">
        <f>-'[17]08YTD  '!L43</f>
        <v>-30845.435000000001</v>
      </c>
      <c r="H16" s="68">
        <f>-'[17]08YTD  '!M43</f>
        <v>-4790.116</v>
      </c>
      <c r="I16" s="68">
        <f>-'[17]08YTD  '!N43</f>
        <v>0</v>
      </c>
      <c r="J16" s="68">
        <f>-'[17]08YTD  '!O43</f>
        <v>0</v>
      </c>
      <c r="K16" s="68">
        <f>-'[17]08YTD 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-'[17]08YTD  '!Q43</f>
        <v>0</v>
      </c>
      <c r="P16" s="68">
        <f>-'[17]08YTD  '!R43</f>
        <v>0</v>
      </c>
      <c r="Q16" s="68">
        <f>-'[17]08YTD  '!S43</f>
        <v>0</v>
      </c>
      <c r="S16" s="68">
        <f>+'[15]AUG_YTD '!$H$15</f>
        <v>226.62</v>
      </c>
    </row>
    <row r="17" spans="1:19" ht="12.75" customHeight="1" outlineLevel="4" x14ac:dyDescent="0.2">
      <c r="A17" s="67" t="s">
        <v>39</v>
      </c>
      <c r="B17" s="63">
        <f t="shared" si="1"/>
        <v>9218</v>
      </c>
      <c r="C17" s="63"/>
      <c r="D17" s="68">
        <f t="shared" si="2"/>
        <v>4083</v>
      </c>
      <c r="E17" s="72">
        <v>1634</v>
      </c>
      <c r="F17" s="72"/>
      <c r="G17" s="72"/>
      <c r="H17" s="72">
        <v>2449</v>
      </c>
      <c r="I17" s="72"/>
      <c r="J17" s="72"/>
      <c r="K17" s="72"/>
      <c r="L17" s="86"/>
      <c r="M17" s="86"/>
      <c r="N17" s="68">
        <f>M17+L17</f>
        <v>0</v>
      </c>
      <c r="O17" s="72"/>
      <c r="P17" s="72"/>
      <c r="Q17" s="72"/>
      <c r="S17" s="68">
        <f>+'[15]AUG_YTD '!$H$16</f>
        <v>5135</v>
      </c>
    </row>
    <row r="18" spans="1:19" ht="12.75" customHeight="1" outlineLevel="4" x14ac:dyDescent="0.2">
      <c r="A18" s="67" t="s">
        <v>32</v>
      </c>
      <c r="B18" s="69">
        <f t="shared" si="1"/>
        <v>-36571</v>
      </c>
      <c r="C18" s="63"/>
      <c r="D18" s="68">
        <f t="shared" si="2"/>
        <v>-36583</v>
      </c>
      <c r="E18" s="70">
        <f>-5208-17744-14700</f>
        <v>-37652</v>
      </c>
      <c r="F18" s="70">
        <f>3258+2228</f>
        <v>5486</v>
      </c>
      <c r="G18" s="70">
        <v>0</v>
      </c>
      <c r="H18" s="70"/>
      <c r="I18" s="70">
        <v>-13</v>
      </c>
      <c r="J18" s="70">
        <v>303</v>
      </c>
      <c r="K18" s="70">
        <v>15</v>
      </c>
      <c r="L18" s="88">
        <v>-7964</v>
      </c>
      <c r="M18" s="88"/>
      <c r="N18" s="68">
        <f>M18+L18</f>
        <v>-7964</v>
      </c>
      <c r="O18" s="70">
        <v>3720</v>
      </c>
      <c r="P18" s="70">
        <v>0</v>
      </c>
      <c r="Q18" s="70">
        <v>-478</v>
      </c>
      <c r="S18" s="68">
        <f>+'[15]AUG_YTD '!$H$17</f>
        <v>12</v>
      </c>
    </row>
    <row r="19" spans="1:19" ht="12.75" customHeight="1" outlineLevel="4" x14ac:dyDescent="0.2">
      <c r="A19" s="62" t="s">
        <v>31</v>
      </c>
      <c r="B19" s="73">
        <f>SUM(B10:B18)</f>
        <v>202133.91999999995</v>
      </c>
      <c r="C19" s="63"/>
      <c r="D19" s="73">
        <f t="shared" ref="D19:Q19" si="3">SUM(D10:D18)</f>
        <v>199780.23099999991</v>
      </c>
      <c r="E19" s="73">
        <f t="shared" si="3"/>
        <v>111792.63499999998</v>
      </c>
      <c r="F19" s="73">
        <f t="shared" si="3"/>
        <v>58851.04099999999</v>
      </c>
      <c r="G19" s="73">
        <f t="shared" si="3"/>
        <v>0</v>
      </c>
      <c r="H19" s="73">
        <f t="shared" si="3"/>
        <v>2838.2869999999984</v>
      </c>
      <c r="I19" s="73">
        <f t="shared" si="3"/>
        <v>-14.414999999999999</v>
      </c>
      <c r="J19" s="73">
        <f t="shared" si="3"/>
        <v>972.42399999999998</v>
      </c>
      <c r="K19" s="73">
        <f t="shared" si="3"/>
        <v>98.065999999999974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33839.146000000008</v>
      </c>
      <c r="P19" s="73">
        <f t="shared" si="3"/>
        <v>163.89400000000001</v>
      </c>
      <c r="Q19" s="73">
        <f t="shared" si="3"/>
        <v>-796.84699999999998</v>
      </c>
      <c r="S19" s="73">
        <f>SUM(S10:S18)</f>
        <v>2353.6890000000003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21360</v>
      </c>
      <c r="C22" s="63"/>
      <c r="D22" s="68">
        <f t="shared" ref="D22:D30" si="5">SUM(E22:M22)+O22+P22+Q22</f>
        <v>18676</v>
      </c>
      <c r="E22" s="68">
        <v>26307</v>
      </c>
      <c r="F22" s="68">
        <v>-2819</v>
      </c>
      <c r="G22" s="68"/>
      <c r="H22" s="68">
        <v>-114</v>
      </c>
      <c r="I22" s="68">
        <v>13</v>
      </c>
      <c r="J22" s="68">
        <v>-2066</v>
      </c>
      <c r="K22" s="68">
        <v>276</v>
      </c>
      <c r="L22" s="87">
        <v>26</v>
      </c>
      <c r="M22" s="87"/>
      <c r="N22" s="68">
        <f t="shared" ref="N22:N30" si="6">M22+L22</f>
        <v>26</v>
      </c>
      <c r="O22" s="68">
        <v>-1255</v>
      </c>
      <c r="P22" s="68">
        <v>-1973</v>
      </c>
      <c r="Q22" s="68">
        <v>281</v>
      </c>
      <c r="S22" s="68">
        <f>+'[15]AUG_YTD '!$H$20</f>
        <v>2684</v>
      </c>
    </row>
    <row r="23" spans="1:19" ht="12.75" customHeight="1" outlineLevel="4" x14ac:dyDescent="0.2">
      <c r="A23" s="67" t="s">
        <v>20</v>
      </c>
      <c r="B23" s="63">
        <f t="shared" si="4"/>
        <v>-17384</v>
      </c>
      <c r="C23" s="63"/>
      <c r="D23" s="68">
        <f t="shared" si="5"/>
        <v>-17384</v>
      </c>
      <c r="E23" s="68">
        <v>-58220</v>
      </c>
      <c r="F23" s="68">
        <v>-23269</v>
      </c>
      <c r="G23" s="68"/>
      <c r="H23" s="68">
        <v>-3556</v>
      </c>
      <c r="I23" s="68">
        <v>0</v>
      </c>
      <c r="J23" s="68">
        <v>3190</v>
      </c>
      <c r="K23" s="68">
        <v>-885</v>
      </c>
      <c r="L23" s="87">
        <v>-22902</v>
      </c>
      <c r="M23" s="87"/>
      <c r="N23" s="68">
        <f t="shared" si="6"/>
        <v>-22902</v>
      </c>
      <c r="O23" s="68">
        <v>1091</v>
      </c>
      <c r="P23" s="68">
        <v>86606</v>
      </c>
      <c r="Q23" s="68">
        <v>561</v>
      </c>
      <c r="S23" s="68">
        <f>+'[15]AUG_YTD '!$H$21</f>
        <v>0</v>
      </c>
    </row>
    <row r="24" spans="1:19" ht="12.75" customHeight="1" outlineLevel="4" x14ac:dyDescent="0.2">
      <c r="A24" s="67" t="s">
        <v>9</v>
      </c>
      <c r="B24" s="63">
        <f t="shared" si="4"/>
        <v>394</v>
      </c>
      <c r="C24" s="63"/>
      <c r="D24" s="68">
        <f t="shared" si="5"/>
        <v>394</v>
      </c>
      <c r="E24" s="68">
        <v>86</v>
      </c>
      <c r="F24" s="68">
        <v>133</v>
      </c>
      <c r="G24" s="68"/>
      <c r="H24" s="68"/>
      <c r="I24" s="68">
        <v>2</v>
      </c>
      <c r="J24" s="68"/>
      <c r="K24" s="68"/>
      <c r="L24" s="87">
        <v>173</v>
      </c>
      <c r="M24" s="87"/>
      <c r="N24" s="68">
        <f t="shared" si="6"/>
        <v>173</v>
      </c>
      <c r="O24" s="68"/>
      <c r="P24" s="68"/>
      <c r="Q24" s="68"/>
      <c r="S24" s="68">
        <f>+'[15]AUG_YTD '!$H$22</f>
        <v>0</v>
      </c>
    </row>
    <row r="25" spans="1:19" ht="12.75" customHeight="1" outlineLevel="4" x14ac:dyDescent="0.2">
      <c r="A25" s="67" t="s">
        <v>10</v>
      </c>
      <c r="B25" s="63">
        <f t="shared" si="4"/>
        <v>7</v>
      </c>
      <c r="C25" s="63"/>
      <c r="D25" s="68">
        <f t="shared" si="5"/>
        <v>7</v>
      </c>
      <c r="E25" s="68">
        <v>0</v>
      </c>
      <c r="F25" s="68">
        <v>7</v>
      </c>
      <c r="G25" s="68"/>
      <c r="H25" s="68"/>
      <c r="I25" s="68"/>
      <c r="J25" s="68"/>
      <c r="K25" s="68"/>
      <c r="L25" s="87"/>
      <c r="M25" s="87"/>
      <c r="N25" s="68">
        <f t="shared" si="6"/>
        <v>0</v>
      </c>
      <c r="O25" s="68"/>
      <c r="P25" s="68"/>
      <c r="Q25" s="68"/>
      <c r="S25" s="68">
        <f>+'[15]AUG_YTD '!$H$23</f>
        <v>0</v>
      </c>
    </row>
    <row r="26" spans="1:19" ht="12.75" customHeight="1" outlineLevel="4" x14ac:dyDescent="0.2">
      <c r="A26" s="67" t="s">
        <v>11</v>
      </c>
      <c r="B26" s="63">
        <f t="shared" si="4"/>
        <v>-10685</v>
      </c>
      <c r="C26" s="63"/>
      <c r="D26" s="68">
        <f t="shared" si="5"/>
        <v>-10705</v>
      </c>
      <c r="E26" s="68">
        <v>-10298</v>
      </c>
      <c r="F26" s="68">
        <v>-3010</v>
      </c>
      <c r="G26" s="68"/>
      <c r="H26" s="68">
        <v>108</v>
      </c>
      <c r="I26" s="68"/>
      <c r="J26" s="68">
        <v>-894</v>
      </c>
      <c r="K26" s="68">
        <v>-1</v>
      </c>
      <c r="L26" s="87">
        <v>-110</v>
      </c>
      <c r="M26" s="87"/>
      <c r="N26" s="68">
        <f t="shared" si="6"/>
        <v>-110</v>
      </c>
      <c r="O26" s="68">
        <v>-576</v>
      </c>
      <c r="P26" s="68">
        <v>4206</v>
      </c>
      <c r="Q26" s="68">
        <v>-130</v>
      </c>
      <c r="S26" s="68">
        <f>+'[15]AUG_YTD '!$H$24</f>
        <v>20</v>
      </c>
    </row>
    <row r="27" spans="1:19" ht="12.75" customHeight="1" outlineLevel="4" x14ac:dyDescent="0.2">
      <c r="A27" s="62" t="s">
        <v>12</v>
      </c>
      <c r="B27" s="63">
        <f t="shared" si="4"/>
        <v>848</v>
      </c>
      <c r="C27" s="63"/>
      <c r="D27" s="68">
        <f t="shared" si="5"/>
        <v>848</v>
      </c>
      <c r="E27" s="68">
        <v>1637</v>
      </c>
      <c r="F27" s="68">
        <v>-789</v>
      </c>
      <c r="G27" s="68"/>
      <c r="H27" s="68">
        <v>0</v>
      </c>
      <c r="I27" s="68"/>
      <c r="J27" s="68"/>
      <c r="K27" s="68"/>
      <c r="L27" s="87"/>
      <c r="M27" s="87"/>
      <c r="N27" s="68">
        <f t="shared" si="6"/>
        <v>0</v>
      </c>
      <c r="O27" s="68"/>
      <c r="P27" s="68"/>
      <c r="Q27" s="68"/>
      <c r="S27" s="68">
        <f>+'[15]AUG_YTD '!$H$25</f>
        <v>0</v>
      </c>
    </row>
    <row r="28" spans="1:19" ht="12.75" customHeight="1" outlineLevel="4" x14ac:dyDescent="0.2">
      <c r="A28" s="67" t="s">
        <v>13</v>
      </c>
      <c r="B28" s="63">
        <f t="shared" si="4"/>
        <v>807</v>
      </c>
      <c r="C28" s="63"/>
      <c r="D28" s="68">
        <f t="shared" si="5"/>
        <v>794</v>
      </c>
      <c r="E28" s="68">
        <v>1859</v>
      </c>
      <c r="F28" s="68">
        <v>988</v>
      </c>
      <c r="G28" s="68"/>
      <c r="H28" s="68">
        <v>-1</v>
      </c>
      <c r="I28" s="68"/>
      <c r="J28" s="68">
        <v>2</v>
      </c>
      <c r="K28" s="68">
        <v>-1</v>
      </c>
      <c r="L28" s="87">
        <v>-1572</v>
      </c>
      <c r="M28" s="87">
        <v>0</v>
      </c>
      <c r="N28" s="68">
        <f t="shared" si="6"/>
        <v>-1572</v>
      </c>
      <c r="O28" s="68">
        <v>-482</v>
      </c>
      <c r="P28" s="68"/>
      <c r="Q28" s="68">
        <v>1</v>
      </c>
      <c r="S28" s="68">
        <f>+'[15]AUG_YTD '!$H$26</f>
        <v>13</v>
      </c>
    </row>
    <row r="29" spans="1:19" ht="12.75" customHeight="1" outlineLevel="4" x14ac:dyDescent="0.2">
      <c r="A29" s="67" t="s">
        <v>14</v>
      </c>
      <c r="B29" s="63">
        <f t="shared" si="4"/>
        <v>6862</v>
      </c>
      <c r="C29" s="63"/>
      <c r="D29" s="68">
        <f t="shared" si="5"/>
        <v>6862</v>
      </c>
      <c r="E29" s="72">
        <v>5750</v>
      </c>
      <c r="F29" s="72">
        <v>1112</v>
      </c>
      <c r="G29" s="72"/>
      <c r="H29" s="72"/>
      <c r="I29" s="72"/>
      <c r="J29" s="72"/>
      <c r="K29" s="72"/>
      <c r="L29" s="86"/>
      <c r="M29" s="86"/>
      <c r="N29" s="68">
        <f t="shared" si="6"/>
        <v>0</v>
      </c>
      <c r="O29" s="72"/>
      <c r="P29" s="72"/>
      <c r="Q29" s="72"/>
      <c r="S29" s="68">
        <f>+'[15]AUG_YTD '!$H$27</f>
        <v>0</v>
      </c>
    </row>
    <row r="30" spans="1:19" ht="12.75" customHeight="1" outlineLevel="4" x14ac:dyDescent="0.2">
      <c r="A30" s="67" t="s">
        <v>30</v>
      </c>
      <c r="B30" s="69">
        <f t="shared" si="4"/>
        <v>-8090</v>
      </c>
      <c r="C30" s="63"/>
      <c r="D30" s="68">
        <f t="shared" si="5"/>
        <v>-8090</v>
      </c>
      <c r="E30" s="70">
        <v>-9169</v>
      </c>
      <c r="F30" s="70">
        <v>449</v>
      </c>
      <c r="G30" s="70"/>
      <c r="H30" s="70">
        <v>-634</v>
      </c>
      <c r="I30" s="70"/>
      <c r="J30" s="70">
        <v>-122</v>
      </c>
      <c r="K30" s="70">
        <v>2</v>
      </c>
      <c r="L30" s="88">
        <v>3</v>
      </c>
      <c r="M30" s="88"/>
      <c r="N30" s="70">
        <f t="shared" si="6"/>
        <v>3</v>
      </c>
      <c r="O30" s="70">
        <v>1385</v>
      </c>
      <c r="P30" s="70"/>
      <c r="Q30" s="70">
        <v>-4</v>
      </c>
      <c r="S30" s="68">
        <f>+'[15]AUG_YTD '!$H$28</f>
        <v>0</v>
      </c>
    </row>
    <row r="31" spans="1:19" ht="12.75" customHeight="1" outlineLevel="4" x14ac:dyDescent="0.2">
      <c r="A31" s="67" t="s">
        <v>33</v>
      </c>
      <c r="B31" s="84">
        <f>SUM(B21:B30)</f>
        <v>-5881</v>
      </c>
      <c r="C31" s="74"/>
      <c r="D31" s="84">
        <f t="shared" ref="D31:Q31" si="7">SUM(D21:D30)</f>
        <v>-8598</v>
      </c>
      <c r="E31" s="84">
        <f t="shared" si="7"/>
        <v>-42048</v>
      </c>
      <c r="F31" s="84">
        <f t="shared" si="7"/>
        <v>-27198</v>
      </c>
      <c r="G31" s="84">
        <f t="shared" si="7"/>
        <v>0</v>
      </c>
      <c r="H31" s="84">
        <f t="shared" si="7"/>
        <v>-4197</v>
      </c>
      <c r="I31" s="84">
        <f t="shared" si="7"/>
        <v>15</v>
      </c>
      <c r="J31" s="84">
        <f t="shared" si="7"/>
        <v>110</v>
      </c>
      <c r="K31" s="84">
        <f t="shared" si="7"/>
        <v>-609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163</v>
      </c>
      <c r="P31" s="84">
        <f t="shared" si="7"/>
        <v>88839</v>
      </c>
      <c r="Q31" s="84">
        <f t="shared" si="7"/>
        <v>709</v>
      </c>
      <c r="S31" s="84">
        <f>SUM(S21:S30)</f>
        <v>2717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196252.91999999995</v>
      </c>
      <c r="C33" s="63"/>
      <c r="D33" s="75">
        <f t="shared" ref="D33:Q33" si="8">D19+D31</f>
        <v>191182.23099999991</v>
      </c>
      <c r="E33" s="75">
        <f t="shared" si="8"/>
        <v>69744.63499999998</v>
      </c>
      <c r="F33" s="75">
        <f t="shared" si="8"/>
        <v>31653.04099999999</v>
      </c>
      <c r="G33" s="75">
        <f t="shared" si="8"/>
        <v>0</v>
      </c>
      <c r="H33" s="75">
        <f t="shared" si="8"/>
        <v>-1358.7130000000016</v>
      </c>
      <c r="I33" s="75">
        <f t="shared" si="8"/>
        <v>0.58500000000000085</v>
      </c>
      <c r="J33" s="75">
        <f t="shared" si="8"/>
        <v>1082.424</v>
      </c>
      <c r="K33" s="75">
        <f t="shared" si="8"/>
        <v>-510.93400000000003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34002.146000000008</v>
      </c>
      <c r="P33" s="75">
        <f t="shared" si="8"/>
        <v>89002.894</v>
      </c>
      <c r="Q33" s="75">
        <f t="shared" si="8"/>
        <v>-87.84699999999998</v>
      </c>
      <c r="S33" s="75">
        <f>S19+S31</f>
        <v>5070.6890000000003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5664</v>
      </c>
      <c r="C36" s="63"/>
      <c r="D36" s="68">
        <f>SUM(E36:M36)+O36+P36+Q36</f>
        <v>5664</v>
      </c>
      <c r="E36" s="76">
        <v>5547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-47920</v>
      </c>
      <c r="C37" s="63"/>
      <c r="D37" s="68">
        <f>SUM(E37:M37)+O37+P37+Q37</f>
        <v>-47920</v>
      </c>
      <c r="E37" s="76">
        <v>-29578</v>
      </c>
      <c r="F37" s="76">
        <v>-18342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16844</v>
      </c>
      <c r="C38" s="63"/>
      <c r="D38" s="68">
        <f>SUM(E38:M38)+O38+P38+Q38</f>
        <v>16844</v>
      </c>
      <c r="E38" s="76">
        <f>18694-1630</f>
        <v>17064</v>
      </c>
      <c r="F38" s="76">
        <f>218-438</f>
        <v>-220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+'[15]AUG_YTD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42</v>
      </c>
      <c r="C41" s="63"/>
      <c r="D41" s="70">
        <f>SUM(E41:M41)+O41+P41+Q41</f>
        <v>42</v>
      </c>
      <c r="E41" s="70">
        <f>-3-11+56</f>
        <v>42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 t="shared" ref="B42:M42" si="10">SUM(B36:B41)</f>
        <v>-32140</v>
      </c>
      <c r="C42" s="77">
        <f t="shared" si="10"/>
        <v>0</v>
      </c>
      <c r="D42" s="75">
        <f t="shared" si="10"/>
        <v>-25370</v>
      </c>
      <c r="E42" s="75">
        <f t="shared" si="10"/>
        <v>-6925</v>
      </c>
      <c r="F42" s="75">
        <f t="shared" si="10"/>
        <v>-18445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0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+'[15]AUG_YTD '!$H$46</f>
        <v>0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27000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0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191112.91999999995</v>
      </c>
      <c r="C52" s="63"/>
      <c r="D52" s="77">
        <f t="shared" ref="D52:M52" si="12">D33+D42+D50</f>
        <v>192812.23099999991</v>
      </c>
      <c r="E52" s="77">
        <f t="shared" si="12"/>
        <v>62819.63499999998</v>
      </c>
      <c r="F52" s="77">
        <f t="shared" si="12"/>
        <v>40208.04099999999</v>
      </c>
      <c r="G52" s="77">
        <f t="shared" si="12"/>
        <v>0</v>
      </c>
      <c r="H52" s="77">
        <f t="shared" si="12"/>
        <v>-1358.7130000000016</v>
      </c>
      <c r="I52" s="77">
        <f t="shared" si="12"/>
        <v>0.58500000000000085</v>
      </c>
      <c r="J52" s="77">
        <f t="shared" si="12"/>
        <v>1082.424</v>
      </c>
      <c r="K52" s="77">
        <f t="shared" si="12"/>
        <v>-510.93400000000003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34002.146000000008</v>
      </c>
      <c r="P52" s="77">
        <f>P33+P42+P50</f>
        <v>89002.894</v>
      </c>
      <c r="Q52" s="77">
        <f>Q33+Q42+Q50</f>
        <v>-87.84699999999998</v>
      </c>
      <c r="S52" s="77">
        <f>S33+S42+S50</f>
        <v>-1699.3109999999997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3616</v>
      </c>
      <c r="C54" s="63"/>
      <c r="D54" s="70">
        <f>SUM(E54:M54)+O54+P54+Q54</f>
        <v>6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9">
        <v>0</v>
      </c>
      <c r="M54" s="89">
        <v>0</v>
      </c>
      <c r="N54" s="80">
        <v>0</v>
      </c>
      <c r="O54" s="80">
        <v>0</v>
      </c>
      <c r="P54" s="80">
        <v>0</v>
      </c>
      <c r="Q54" s="80">
        <v>5</v>
      </c>
      <c r="S54" s="80">
        <f>+'[15]AUG_YTD '!$J$50</f>
        <v>3610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187496.91999999995</v>
      </c>
      <c r="C56" s="63"/>
      <c r="D56" s="81">
        <f t="shared" ref="D56:Q56" si="13">D52-D54</f>
        <v>192806.23099999991</v>
      </c>
      <c r="E56" s="81">
        <f t="shared" si="13"/>
        <v>62818.63499999998</v>
      </c>
      <c r="F56" s="81">
        <f t="shared" si="13"/>
        <v>40208.04099999999</v>
      </c>
      <c r="G56" s="81">
        <f t="shared" si="13"/>
        <v>0</v>
      </c>
      <c r="H56" s="81">
        <f t="shared" si="13"/>
        <v>-1358.7130000000016</v>
      </c>
      <c r="I56" s="81">
        <f t="shared" si="13"/>
        <v>0.58500000000000085</v>
      </c>
      <c r="J56" s="81">
        <f t="shared" si="13"/>
        <v>1082.424</v>
      </c>
      <c r="K56" s="81">
        <f t="shared" si="13"/>
        <v>-510.93400000000003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34002.146000000008</v>
      </c>
      <c r="P56" s="81">
        <f t="shared" si="13"/>
        <v>89002.894</v>
      </c>
      <c r="Q56" s="81">
        <f t="shared" si="13"/>
        <v>-92.84699999999998</v>
      </c>
      <c r="S56" s="81">
        <f>S52-S54</f>
        <v>-5309.3109999999997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-27053</v>
      </c>
      <c r="C58" s="46"/>
      <c r="D58" s="70">
        <f>SUM(E58:Q58)</f>
        <v>-27053</v>
      </c>
      <c r="E58" s="80">
        <v>-52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9">
        <v>0</v>
      </c>
      <c r="M58" s="89">
        <v>0</v>
      </c>
      <c r="N58" s="80">
        <v>0</v>
      </c>
      <c r="O58" s="80">
        <v>0</v>
      </c>
      <c r="P58" s="80">
        <v>0</v>
      </c>
      <c r="Q58" s="80">
        <v>0</v>
      </c>
      <c r="S58" s="80">
        <f>+'[15]AUG_YTD '!$J$54</f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160443.91999999995</v>
      </c>
      <c r="C60" s="46"/>
      <c r="D60" s="81">
        <f t="shared" ref="D60:M60" si="14">D56+D58</f>
        <v>165753.23099999991</v>
      </c>
      <c r="E60" s="81">
        <f t="shared" si="14"/>
        <v>62766.63499999998</v>
      </c>
      <c r="F60" s="81">
        <f t="shared" si="14"/>
        <v>13208.04099999999</v>
      </c>
      <c r="G60" s="81">
        <f t="shared" si="14"/>
        <v>0</v>
      </c>
      <c r="H60" s="81">
        <f t="shared" si="14"/>
        <v>-1358.7130000000016</v>
      </c>
      <c r="I60" s="81">
        <f t="shared" si="14"/>
        <v>-1511.415</v>
      </c>
      <c r="J60" s="81">
        <f t="shared" si="14"/>
        <v>8439.4239999999991</v>
      </c>
      <c r="K60" s="81">
        <f t="shared" si="14"/>
        <v>-6356.9340000000002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34002.146000000008</v>
      </c>
      <c r="P60" s="81">
        <f>P56+P58</f>
        <v>89002.894</v>
      </c>
      <c r="Q60" s="81">
        <f>Q56-Q58</f>
        <v>-92.84699999999998</v>
      </c>
      <c r="S60" s="81">
        <f>S56+S58</f>
        <v>-5309.3109999999997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D1" workbookViewId="0">
      <selection activeCell="N22" sqref="N22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6" width="12.1640625" style="48" customWidth="1"/>
    <col min="17" max="17" width="10.83203125" style="48" customWidth="1"/>
    <col min="18" max="18" width="3.6640625" style="48" customWidth="1"/>
    <col min="19" max="19" width="9.832031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16040.162999999986</v>
      </c>
      <c r="C8" s="63"/>
      <c r="D8" s="68">
        <f>SUM(E8:M8)+O8+P8+Q8</f>
        <v>13846.032999999987</v>
      </c>
      <c r="E8" s="68">
        <f>'JULYYTD '!E8-JUNEYTD!E8</f>
        <v>2320.7139999999781</v>
      </c>
      <c r="F8" s="68">
        <f>'JULYYTD '!F8-JUNEYTD!F8</f>
        <v>7388.3910000000105</v>
      </c>
      <c r="G8" s="68">
        <f>'JULYYTD '!G8-JUNEYTD!G8</f>
        <v>2905.1939999999995</v>
      </c>
      <c r="H8" s="68">
        <f>'JULYYTD '!H8-JUNEYTD!H8</f>
        <v>289.03099999999949</v>
      </c>
      <c r="I8" s="68">
        <f>'JULYYTD '!I8-JUNEYTD!I8</f>
        <v>1.9160000000000013</v>
      </c>
      <c r="J8" s="68">
        <f>'JULYYTD '!J8-JUNEYTD!J8</f>
        <v>285.98500000000013</v>
      </c>
      <c r="K8" s="68">
        <f>'JULYYTD '!K8-JUNEYTD!K8</f>
        <v>-7.3730000000001468</v>
      </c>
      <c r="L8" s="68">
        <f>'JULYYTD '!L8-JUNEYTD!L8</f>
        <v>0.40099999999994818</v>
      </c>
      <c r="M8" s="68">
        <f>'JULYYTD '!M8-JUNEYTD!M8</f>
        <v>0</v>
      </c>
      <c r="N8" s="68">
        <f>M8+L8</f>
        <v>0.40099999999994818</v>
      </c>
      <c r="O8" s="68">
        <f>'JULYYTD '!O8-JUNEYTD!O8</f>
        <v>829.63799999999992</v>
      </c>
      <c r="P8" s="68">
        <f>'JULYYTD '!P8-JUNEYTD!P8</f>
        <v>-25.954000000000001</v>
      </c>
      <c r="Q8" s="68">
        <f>'JULYYTD '!Q8-JUNEYTD!Q8</f>
        <v>-141.91000000000005</v>
      </c>
      <c r="S8" s="68">
        <f>'JULYYTD '!S8-JUNEYTD!S8</f>
        <v>2194.1299999999997</v>
      </c>
    </row>
    <row r="9" spans="1:19" ht="12.75" customHeight="1" outlineLevel="4" x14ac:dyDescent="0.2">
      <c r="A9" s="62" t="s">
        <v>29</v>
      </c>
      <c r="B9" s="69">
        <f>D9+S9</f>
        <v>4020.1470000000013</v>
      </c>
      <c r="C9" s="63"/>
      <c r="D9" s="70">
        <f>SUM(E9:M9)+O9+P9+Q9</f>
        <v>4030.6590000000015</v>
      </c>
      <c r="E9" s="70">
        <f>'JULYYTD '!E9-JUNEYTD!E9</f>
        <v>-1158.5290000000014</v>
      </c>
      <c r="F9" s="70">
        <f>'JULYYTD '!F9-JUNEYTD!F9</f>
        <v>405.34700000000026</v>
      </c>
      <c r="G9" s="70">
        <f>'JULYYTD '!G9-JUNEYTD!G9</f>
        <v>0</v>
      </c>
      <c r="H9" s="70">
        <f>'JULYYTD '!H9-JUNEYTD!H9</f>
        <v>585.31399999999985</v>
      </c>
      <c r="I9" s="70">
        <f>'JULYYTD '!I9-JUNEYTD!I9</f>
        <v>0</v>
      </c>
      <c r="J9" s="70">
        <f>'JULYYTD '!J9-JUNEYTD!J9</f>
        <v>-29.593000000000018</v>
      </c>
      <c r="K9" s="70">
        <f>'JULYYTD '!K9-JUNEYTD!K9</f>
        <v>0</v>
      </c>
      <c r="L9" s="70">
        <f>'JULYYTD '!L9-JUNEYTD!L9</f>
        <v>0</v>
      </c>
      <c r="M9" s="70">
        <f>'JULYYTD '!M9-JUNEYTD!M9</f>
        <v>0</v>
      </c>
      <c r="N9" s="70">
        <f>M9+L9</f>
        <v>0</v>
      </c>
      <c r="O9" s="70">
        <f>'JULYYTD '!O9-JUNEYTD!O9</f>
        <v>4228.1200000000026</v>
      </c>
      <c r="P9" s="70">
        <f>'JULYYTD '!P9-JUNEYTD!P9</f>
        <v>0</v>
      </c>
      <c r="Q9" s="70">
        <f>'JULYYTD '!Q9-JUNEYTD!Q9</f>
        <v>0</v>
      </c>
      <c r="S9" s="70">
        <f>'JULYYTD '!S9-JUNEYTD!S9</f>
        <v>-10.511999999999999</v>
      </c>
    </row>
    <row r="10" spans="1:19" ht="12.75" customHeight="1" outlineLevel="4" x14ac:dyDescent="0.2">
      <c r="A10" s="67" t="s">
        <v>49</v>
      </c>
      <c r="B10" s="71">
        <f>B8+B9</f>
        <v>20060.309999999987</v>
      </c>
      <c r="C10" s="63"/>
      <c r="D10" s="71">
        <f t="shared" ref="D10:M10" si="0">D8+D9</f>
        <v>17876.691999999988</v>
      </c>
      <c r="E10" s="71">
        <f t="shared" si="0"/>
        <v>1162.1849999999768</v>
      </c>
      <c r="F10" s="71">
        <f t="shared" si="0"/>
        <v>7793.7380000000112</v>
      </c>
      <c r="G10" s="71">
        <f t="shared" si="0"/>
        <v>2905.1939999999995</v>
      </c>
      <c r="H10" s="71">
        <f t="shared" si="0"/>
        <v>874.34499999999935</v>
      </c>
      <c r="I10" s="71">
        <f t="shared" si="0"/>
        <v>1.9160000000000013</v>
      </c>
      <c r="J10" s="71">
        <f t="shared" si="0"/>
        <v>256.39200000000011</v>
      </c>
      <c r="K10" s="71">
        <f t="shared" si="0"/>
        <v>-7.3730000000001468</v>
      </c>
      <c r="L10" s="71">
        <f t="shared" si="0"/>
        <v>0.40099999999994818</v>
      </c>
      <c r="M10" s="71">
        <f t="shared" si="0"/>
        <v>0</v>
      </c>
      <c r="N10" s="71">
        <f>N8</f>
        <v>0.40099999999994818</v>
      </c>
      <c r="O10" s="71">
        <f>O8+O9</f>
        <v>5057.7580000000025</v>
      </c>
      <c r="P10" s="71">
        <f>P8+P9</f>
        <v>-25.954000000000001</v>
      </c>
      <c r="Q10" s="71">
        <f>Q8+Q9</f>
        <v>-141.91000000000005</v>
      </c>
      <c r="S10" s="71">
        <f>S8+S9</f>
        <v>2183.6179999999995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5502.9690000000028</v>
      </c>
      <c r="C12" s="63"/>
      <c r="D12" s="68">
        <f>SUM(E12:M12)+O12+P12+Q12</f>
        <v>5502.9690000000028</v>
      </c>
      <c r="E12" s="68">
        <f>'JULYYTD '!E12-JUNEYTD!E12</f>
        <v>4024.461000000003</v>
      </c>
      <c r="F12" s="68">
        <f>'JULYYTD '!F12-JUNEYTD!F12</f>
        <v>1478.5079999999998</v>
      </c>
      <c r="G12" s="68">
        <f>'JULYYTD '!G12-JUNEYTD!G12</f>
        <v>0</v>
      </c>
      <c r="H12" s="68">
        <f>'JULYYTD '!H12-JUNEYTD!H12</f>
        <v>0</v>
      </c>
      <c r="I12" s="68">
        <f>'JULYYTD '!I12-JUNEYTD!I12</f>
        <v>0</v>
      </c>
      <c r="J12" s="68">
        <f>'JULYYTD '!J12-JUNEYTD!J12</f>
        <v>0</v>
      </c>
      <c r="K12" s="68">
        <f>'JULYYTD '!K12-JUNEYTD!K12</f>
        <v>0</v>
      </c>
      <c r="L12" s="68">
        <f>'JULYYTD '!L12-JUNEYTD!L12</f>
        <v>0</v>
      </c>
      <c r="M12" s="68">
        <f>'JULYYTD '!M12-JUNEYTD!M12</f>
        <v>0</v>
      </c>
      <c r="N12" s="68">
        <f t="shared" ref="N12:N18" si="2">M12+L12</f>
        <v>0</v>
      </c>
      <c r="O12" s="68">
        <f>'JULYYTD '!O12-JUNEYTD!O12</f>
        <v>0</v>
      </c>
      <c r="P12" s="68">
        <f>'JULYYTD '!P12-JUNEYTD!P12</f>
        <v>0</v>
      </c>
      <c r="Q12" s="68">
        <f>'JULYYTD '!Q12-JUNEYTD!Q12</f>
        <v>0</v>
      </c>
      <c r="S12" s="68">
        <f>'JULYYTD '!S12-JUNEYTD!S12</f>
        <v>0</v>
      </c>
    </row>
    <row r="13" spans="1:19" ht="12.75" customHeight="1" outlineLevel="4" x14ac:dyDescent="0.2">
      <c r="A13" s="62" t="s">
        <v>6</v>
      </c>
      <c r="B13" s="63">
        <f t="shared" si="1"/>
        <v>-1648.9609999999996</v>
      </c>
      <c r="C13" s="63"/>
      <c r="D13" s="68">
        <f t="shared" ref="D13:D18" si="3">SUM(E13:M13)+O13+P13+Q13</f>
        <v>-922.80899999999951</v>
      </c>
      <c r="E13" s="68">
        <f>'JULYYTD '!E13-JUNEYTD!E13</f>
        <v>-301.58699999999953</v>
      </c>
      <c r="F13" s="68">
        <f>'JULYYTD '!F13-JUNEYTD!F13</f>
        <v>155.94100000000003</v>
      </c>
      <c r="G13" s="68">
        <f>'JULYYTD '!G13-JUNEYTD!G13</f>
        <v>0</v>
      </c>
      <c r="H13" s="68">
        <f>'JULYYTD '!H13-JUNEYTD!H13</f>
        <v>30.430999999999983</v>
      </c>
      <c r="I13" s="68">
        <f>'JULYYTD '!I13-JUNEYTD!I13</f>
        <v>0</v>
      </c>
      <c r="J13" s="68">
        <f>'JULYYTD '!J13-JUNEYTD!J13</f>
        <v>0</v>
      </c>
      <c r="K13" s="68">
        <f>'JULYYTD '!K13-JUNEYTD!K13</f>
        <v>-0.60700000000000021</v>
      </c>
      <c r="L13" s="68">
        <f>'JULYYTD '!L13-JUNEYTD!L13</f>
        <v>-806.98699999999997</v>
      </c>
      <c r="M13" s="68">
        <f>'JULYYTD '!M13-JUNEYTD!M13</f>
        <v>0</v>
      </c>
      <c r="N13" s="68">
        <f t="shared" si="2"/>
        <v>-806.98699999999997</v>
      </c>
      <c r="O13" s="68">
        <f>'JULYYTD '!O13-JUNEYTD!O13</f>
        <v>0</v>
      </c>
      <c r="P13" s="68">
        <f>'JULYYTD '!P13-JUNEYTD!P13</f>
        <v>0</v>
      </c>
      <c r="Q13" s="68">
        <f>'JULYYTD '!Q13-JUNEYTD!Q13</f>
        <v>0</v>
      </c>
      <c r="S13" s="68">
        <f>'JULYYTD '!S13-JUNEYTD!S13</f>
        <v>-726.15200000000004</v>
      </c>
    </row>
    <row r="14" spans="1:19" ht="12.75" customHeight="1" outlineLevel="4" x14ac:dyDescent="0.2">
      <c r="A14" s="67" t="s">
        <v>22</v>
      </c>
      <c r="B14" s="63">
        <f t="shared" si="1"/>
        <v>967.95299999999997</v>
      </c>
      <c r="C14" s="63"/>
      <c r="D14" s="68">
        <f t="shared" si="3"/>
        <v>967.95299999999997</v>
      </c>
      <c r="E14" s="68">
        <f>'JULYYTD '!E14-JUNEYTD!E14</f>
        <v>967.95299999999997</v>
      </c>
      <c r="F14" s="68">
        <f>'JULYYTD '!F14-JUNEYTD!F14</f>
        <v>0</v>
      </c>
      <c r="G14" s="68">
        <f>'JULYYTD '!G14-JUNEYTD!G14</f>
        <v>0</v>
      </c>
      <c r="H14" s="68">
        <f>'JULYYTD '!H14-JUNEYTD!H14</f>
        <v>0</v>
      </c>
      <c r="I14" s="68">
        <f>'JULYYTD '!I14-JUNEYTD!I14</f>
        <v>0</v>
      </c>
      <c r="J14" s="68">
        <f>'JULYYTD '!J14-JUNEYTD!J14</f>
        <v>0</v>
      </c>
      <c r="K14" s="68">
        <f>'JULYYTD '!K14-JUNEYTD!K14</f>
        <v>0</v>
      </c>
      <c r="L14" s="68">
        <f>'JULYYTD '!L14-JUNEYTD!L14</f>
        <v>0</v>
      </c>
      <c r="M14" s="68">
        <f>'JULYYTD '!M14-JUNEYTD!M14</f>
        <v>0</v>
      </c>
      <c r="N14" s="68">
        <f t="shared" si="2"/>
        <v>0</v>
      </c>
      <c r="O14" s="68">
        <f>'JULYYTD '!O14-JUNEYTD!O14</f>
        <v>0</v>
      </c>
      <c r="P14" s="68">
        <f>'JULYYTD '!P14-JUNEYTD!P14</f>
        <v>0</v>
      </c>
      <c r="Q14" s="68">
        <f>'JULYYTD '!Q14-JUNEYTD!Q14</f>
        <v>0</v>
      </c>
      <c r="S14" s="68">
        <f>'JULYYTD '!S14-JUNEYTD!S14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3"/>
        <v>0</v>
      </c>
      <c r="E15" s="68">
        <f>'JULYYTD '!E15-JUNEYTD!E15</f>
        <v>0</v>
      </c>
      <c r="F15" s="68">
        <f>'JULYYTD '!F15-JUNEYTD!F15</f>
        <v>0</v>
      </c>
      <c r="G15" s="68">
        <f>'JULYYTD '!G15-JUNEYTD!G15</f>
        <v>0</v>
      </c>
      <c r="H15" s="68">
        <f>'JULYYTD '!H15-JUNEYTD!H15</f>
        <v>0</v>
      </c>
      <c r="I15" s="68">
        <f>'JULYYTD '!I15-JUNEYTD!I15</f>
        <v>0</v>
      </c>
      <c r="J15" s="68">
        <f>'JULYYTD '!J15-JUNEYTD!J15</f>
        <v>0</v>
      </c>
      <c r="K15" s="68">
        <f>'JULYYTD '!K15-JUNEYTD!K15</f>
        <v>0</v>
      </c>
      <c r="L15" s="68">
        <f>'JULYYTD '!L15-JUNEYTD!L15</f>
        <v>0</v>
      </c>
      <c r="M15" s="68">
        <f>'JULYYTD '!M15-JUNEYTD!M15</f>
        <v>0</v>
      </c>
      <c r="N15" s="68">
        <f t="shared" si="2"/>
        <v>0</v>
      </c>
      <c r="O15" s="68">
        <f>'JULYYTD '!O15-JUNEYTD!O15</f>
        <v>0</v>
      </c>
      <c r="P15" s="68">
        <f>'JULYYTD '!P15-JUNEYTD!P15</f>
        <v>0</v>
      </c>
      <c r="Q15" s="68">
        <f>'JULYYTD '!Q15-JUNEYTD!Q15</f>
        <v>0</v>
      </c>
      <c r="S15" s="68">
        <f>'JULYYTD '!S15-JUNEYTD!S15</f>
        <v>0</v>
      </c>
    </row>
    <row r="16" spans="1:19" ht="12.75" customHeight="1" outlineLevel="4" x14ac:dyDescent="0.2">
      <c r="A16" s="67" t="s">
        <v>38</v>
      </c>
      <c r="B16" s="63">
        <f t="shared" si="1"/>
        <v>-7809.5859999999993</v>
      </c>
      <c r="C16" s="63"/>
      <c r="D16" s="68">
        <f t="shared" si="3"/>
        <v>-3795.0649999999996</v>
      </c>
      <c r="E16" s="68">
        <f>'JULYYTD '!E16-JUNEYTD!E16</f>
        <v>-285.66499999999996</v>
      </c>
      <c r="F16" s="68">
        <f>'JULYYTD '!F16-JUNEYTD!F16</f>
        <v>0</v>
      </c>
      <c r="G16" s="68">
        <f>'JULYYTD '!G16-JUNEYTD!G16</f>
        <v>-2905.1939999999995</v>
      </c>
      <c r="H16" s="68">
        <f>'JULYYTD '!H16-JUNEYTD!H16</f>
        <v>-604.20600000000013</v>
      </c>
      <c r="I16" s="68">
        <f>'JULYYTD '!I16-JUNEYTD!I16</f>
        <v>0</v>
      </c>
      <c r="J16" s="68">
        <f>'JULYYTD '!J16-JUNEYTD!J16</f>
        <v>0</v>
      </c>
      <c r="K16" s="68">
        <f>'JULYYTD '!K16-JUNEYTD!K16</f>
        <v>0</v>
      </c>
      <c r="L16" s="68">
        <f>'JULYYTD '!L16-JUNEYTD!L16</f>
        <v>0</v>
      </c>
      <c r="M16" s="68">
        <f>'JULYYTD '!M16-JUNEYTD!M16</f>
        <v>0</v>
      </c>
      <c r="N16" s="68">
        <f t="shared" si="2"/>
        <v>0</v>
      </c>
      <c r="O16" s="68">
        <f>'JULYYTD '!O16-JUNEYTD!O16</f>
        <v>0</v>
      </c>
      <c r="P16" s="68">
        <f>'JULYYTD '!P16-JUNEYTD!P16</f>
        <v>0</v>
      </c>
      <c r="Q16" s="68">
        <f>'JULYYTD '!Q16-JUNEYTD!Q16</f>
        <v>0</v>
      </c>
      <c r="S16" s="68">
        <f>'JULYYTD '!S16-JUNEYTD!S16</f>
        <v>-4014.5210000000002</v>
      </c>
    </row>
    <row r="17" spans="1:19" ht="12.75" customHeight="1" outlineLevel="4" x14ac:dyDescent="0.2">
      <c r="A17" s="67" t="s">
        <v>39</v>
      </c>
      <c r="B17" s="63">
        <f t="shared" si="1"/>
        <v>0</v>
      </c>
      <c r="C17" s="63"/>
      <c r="D17" s="68">
        <f t="shared" si="3"/>
        <v>0</v>
      </c>
      <c r="E17" s="68">
        <f>'JULYYTD '!E17-JUNEYTD!E17</f>
        <v>0</v>
      </c>
      <c r="F17" s="68">
        <f>'JULYYTD '!F17-JUNEYTD!F17</f>
        <v>0</v>
      </c>
      <c r="G17" s="68">
        <f>'JULYYTD '!G17-JUNEYTD!G17</f>
        <v>0</v>
      </c>
      <c r="H17" s="68">
        <f>'JULYYTD '!H17-JUNEYTD!H17</f>
        <v>0</v>
      </c>
      <c r="I17" s="68">
        <f>'JULYYTD '!I17-JUNEYTD!I17</f>
        <v>0</v>
      </c>
      <c r="J17" s="68">
        <f>'JULYYTD '!J17-JUNEYTD!J17</f>
        <v>0</v>
      </c>
      <c r="K17" s="68">
        <f>'JULYYTD '!K17-JUNEYTD!K17</f>
        <v>0</v>
      </c>
      <c r="L17" s="68">
        <f>'JULYYTD '!L17-JUNEYTD!L17</f>
        <v>0</v>
      </c>
      <c r="M17" s="68">
        <f>'JULYYTD '!M17-JUNEYTD!M17</f>
        <v>0</v>
      </c>
      <c r="N17" s="68">
        <f t="shared" si="2"/>
        <v>0</v>
      </c>
      <c r="O17" s="68">
        <f>'JULYYTD '!O17-JUNEYTD!O17</f>
        <v>0</v>
      </c>
      <c r="P17" s="68">
        <f>'JULYYTD '!P17-JUNEYTD!P17</f>
        <v>0</v>
      </c>
      <c r="Q17" s="68">
        <f>'JULYYTD '!Q17-JUNEYTD!Q17</f>
        <v>0</v>
      </c>
      <c r="S17" s="68">
        <f>'JULYYTD '!S17-JUNEYTD!S17</f>
        <v>0</v>
      </c>
    </row>
    <row r="18" spans="1:19" ht="12.75" customHeight="1" outlineLevel="4" x14ac:dyDescent="0.2">
      <c r="A18" s="67" t="s">
        <v>32</v>
      </c>
      <c r="B18" s="69">
        <f t="shared" si="1"/>
        <v>-28149</v>
      </c>
      <c r="C18" s="63"/>
      <c r="D18" s="68">
        <f t="shared" si="3"/>
        <v>-28000</v>
      </c>
      <c r="E18" s="68">
        <f>'JULYYTD '!E18-JUNEYTD!E18</f>
        <v>-532</v>
      </c>
      <c r="F18" s="68">
        <f>'JULYYTD '!F18-JUNEYTD!F18</f>
        <v>429</v>
      </c>
      <c r="G18" s="68">
        <f>'JULYYTD '!G18-JUNEYTD!G18</f>
        <v>0</v>
      </c>
      <c r="H18" s="68">
        <f>'JULYYTD '!H18-JUNEYTD!H18</f>
        <v>0</v>
      </c>
      <c r="I18" s="68">
        <f>'JULYYTD '!I18-JUNEYTD!I18</f>
        <v>0</v>
      </c>
      <c r="J18" s="68">
        <f>'JULYYTD '!J18-JUNEYTD!J18</f>
        <v>85</v>
      </c>
      <c r="K18" s="68">
        <f>'JULYYTD '!K18-JUNEYTD!K18</f>
        <v>-2</v>
      </c>
      <c r="L18" s="68">
        <f>'JULYYTD '!L18-JUNEYTD!L18</f>
        <v>-29177</v>
      </c>
      <c r="M18" s="68">
        <f>'JULYYTD '!M18-JUNEYTD!M18</f>
        <v>0</v>
      </c>
      <c r="N18" s="68">
        <f t="shared" si="2"/>
        <v>-29177</v>
      </c>
      <c r="O18" s="68">
        <f>'JULYYTD '!O18-JUNEYTD!O18</f>
        <v>1192</v>
      </c>
      <c r="P18" s="68">
        <f>'JULYYTD '!P18-JUNEYTD!P18</f>
        <v>0</v>
      </c>
      <c r="Q18" s="68">
        <f>'JULYYTD '!Q18-JUNEYTD!Q18</f>
        <v>5</v>
      </c>
      <c r="S18" s="68">
        <f>'JULYYTD '!S18-JUNEYTD!S18</f>
        <v>-149</v>
      </c>
    </row>
    <row r="19" spans="1:19" ht="12.75" customHeight="1" outlineLevel="4" x14ac:dyDescent="0.2">
      <c r="A19" s="62" t="s">
        <v>31</v>
      </c>
      <c r="B19" s="73">
        <f>SUM(B10:B18)</f>
        <v>-11076.31500000001</v>
      </c>
      <c r="C19" s="63"/>
      <c r="D19" s="73">
        <f t="shared" ref="D19:Q19" si="4">SUM(D10:D18)</f>
        <v>-8370.2600000000057</v>
      </c>
      <c r="E19" s="73">
        <f t="shared" si="4"/>
        <v>5035.3469999999807</v>
      </c>
      <c r="F19" s="73">
        <f t="shared" si="4"/>
        <v>9857.1870000000108</v>
      </c>
      <c r="G19" s="73">
        <f t="shared" si="4"/>
        <v>0</v>
      </c>
      <c r="H19" s="73">
        <f t="shared" si="4"/>
        <v>300.56999999999925</v>
      </c>
      <c r="I19" s="73">
        <f t="shared" si="4"/>
        <v>1.9160000000000013</v>
      </c>
      <c r="J19" s="73">
        <f t="shared" si="4"/>
        <v>341.39200000000011</v>
      </c>
      <c r="K19" s="73">
        <f t="shared" si="4"/>
        <v>-9.9800000000001461</v>
      </c>
      <c r="L19" s="73">
        <f t="shared" si="4"/>
        <v>-29983.585999999999</v>
      </c>
      <c r="M19" s="73">
        <f t="shared" si="4"/>
        <v>0</v>
      </c>
      <c r="N19" s="73">
        <f t="shared" si="4"/>
        <v>-29983.585999999999</v>
      </c>
      <c r="O19" s="73">
        <f t="shared" si="4"/>
        <v>6249.7580000000025</v>
      </c>
      <c r="P19" s="73">
        <f t="shared" si="4"/>
        <v>-25.954000000000001</v>
      </c>
      <c r="Q19" s="73">
        <f t="shared" si="4"/>
        <v>-136.91000000000005</v>
      </c>
      <c r="S19" s="73">
        <f>SUM(S10:S18)</f>
        <v>-2706.0550000000007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9" ht="12.75" customHeight="1" outlineLevel="4" x14ac:dyDescent="0.2">
      <c r="A22" s="67" t="s">
        <v>8</v>
      </c>
      <c r="B22" s="63">
        <f t="shared" ref="B22:B30" si="5">D22+S22</f>
        <v>48534</v>
      </c>
      <c r="C22" s="63"/>
      <c r="D22" s="68">
        <f t="shared" ref="D22:D30" si="6">SUM(E22:M22)+O22+P22+Q22</f>
        <v>48453</v>
      </c>
      <c r="E22" s="68">
        <f>'JULYYTD '!E22-JUNEYTD!E22</f>
        <v>50700</v>
      </c>
      <c r="F22" s="68">
        <f>'JULYYTD '!F22-JUNEYTD!F22</f>
        <v>1585</v>
      </c>
      <c r="G22" s="68">
        <f>'JULYYTD '!G22-JUNEYTD!G22</f>
        <v>0</v>
      </c>
      <c r="H22" s="68">
        <f>'JULYYTD '!H22-JUNEYTD!H22</f>
        <v>55</v>
      </c>
      <c r="I22" s="68">
        <f>'JULYYTD '!I22-JUNEYTD!I22</f>
        <v>0</v>
      </c>
      <c r="J22" s="68">
        <f>'JULYYTD '!J22-JUNEYTD!J22</f>
        <v>-793</v>
      </c>
      <c r="K22" s="68">
        <f>'JULYYTD '!K22-JUNEYTD!K22</f>
        <v>2</v>
      </c>
      <c r="L22" s="68">
        <f>'JULYYTD '!L22-JUNEYTD!L22</f>
        <v>0</v>
      </c>
      <c r="M22" s="68">
        <f>'JULYYTD '!M22-JUNEYTD!M22</f>
        <v>0</v>
      </c>
      <c r="N22" s="68">
        <f t="shared" ref="N22:N30" si="7">M22+L22</f>
        <v>0</v>
      </c>
      <c r="O22" s="68">
        <f>'JULYYTD '!O22-JUNEYTD!O22</f>
        <v>-1329</v>
      </c>
      <c r="P22" s="68">
        <f>'JULYYTD '!P22-JUNEYTD!P22</f>
        <v>-1973</v>
      </c>
      <c r="Q22" s="68">
        <f>'JULYYTD '!Q22-JUNEYTD!Q22</f>
        <v>206</v>
      </c>
      <c r="S22" s="68">
        <f>'JULYYTD '!S22-JUNEYTD!S22</f>
        <v>81</v>
      </c>
    </row>
    <row r="23" spans="1:19" ht="12.75" customHeight="1" outlineLevel="4" x14ac:dyDescent="0.2">
      <c r="A23" s="67" t="s">
        <v>20</v>
      </c>
      <c r="B23" s="63">
        <f t="shared" si="5"/>
        <v>-5338</v>
      </c>
      <c r="C23" s="63"/>
      <c r="D23" s="68">
        <f t="shared" si="6"/>
        <v>-5338</v>
      </c>
      <c r="E23" s="68">
        <f>'JULYYTD '!E23-JUNEYTD!E23</f>
        <v>-60617</v>
      </c>
      <c r="F23" s="68">
        <f>'JULYYTD '!F23-JUNEYTD!F23</f>
        <v>-14638</v>
      </c>
      <c r="G23" s="68">
        <f>'JULYYTD '!G23-JUNEYTD!G23</f>
        <v>0</v>
      </c>
      <c r="H23" s="68">
        <f>'JULYYTD '!H23-JUNEYTD!H23</f>
        <v>-2133</v>
      </c>
      <c r="I23" s="68">
        <f>'JULYYTD '!I23-JUNEYTD!I23</f>
        <v>-3</v>
      </c>
      <c r="J23" s="68">
        <f>'JULYYTD '!J23-JUNEYTD!J23</f>
        <v>22</v>
      </c>
      <c r="K23" s="68">
        <f>'JULYYTD '!K23-JUNEYTD!K23</f>
        <v>-65</v>
      </c>
      <c r="L23" s="68">
        <f>'JULYYTD '!L23-JUNEYTD!L23</f>
        <v>-2858</v>
      </c>
      <c r="M23" s="68">
        <f>'JULYYTD '!M23-JUNEYTD!M23</f>
        <v>0</v>
      </c>
      <c r="N23" s="68">
        <f t="shared" si="7"/>
        <v>-2858</v>
      </c>
      <c r="O23" s="68">
        <f>'JULYYTD '!O23-JUNEYTD!O23</f>
        <v>-8557</v>
      </c>
      <c r="P23" s="68">
        <f>'JULYYTD '!P23-JUNEYTD!P23</f>
        <v>83597</v>
      </c>
      <c r="Q23" s="68">
        <f>'JULYYTD '!Q23-JUNEYTD!Q23</f>
        <v>-86</v>
      </c>
      <c r="S23" s="68">
        <f>'JULYYTD '!S23-JUNEYTD!S23</f>
        <v>0</v>
      </c>
    </row>
    <row r="24" spans="1:19" ht="12.75" customHeight="1" outlineLevel="4" x14ac:dyDescent="0.2">
      <c r="A24" s="67" t="s">
        <v>9</v>
      </c>
      <c r="B24" s="63">
        <f t="shared" si="5"/>
        <v>3</v>
      </c>
      <c r="C24" s="63"/>
      <c r="D24" s="68">
        <f t="shared" si="6"/>
        <v>3</v>
      </c>
      <c r="E24" s="68">
        <f>'JULYYTD '!E24-JUNEYTD!E24</f>
        <v>4</v>
      </c>
      <c r="F24" s="68">
        <f>'JULYYTD '!F24-JUNEYTD!F24</f>
        <v>-1</v>
      </c>
      <c r="G24" s="68">
        <f>'JULYYTD '!G24-JUNEYTD!G24</f>
        <v>0</v>
      </c>
      <c r="H24" s="68">
        <f>'JULYYTD '!H24-JUNEYTD!H24</f>
        <v>0</v>
      </c>
      <c r="I24" s="68">
        <f>'JULYYTD '!I24-JUNEYTD!I24</f>
        <v>0</v>
      </c>
      <c r="J24" s="68">
        <f>'JULYYTD '!J24-JUNEYTD!J24</f>
        <v>0</v>
      </c>
      <c r="K24" s="68">
        <f>'JULYYTD '!K24-JUNEYTD!K24</f>
        <v>0</v>
      </c>
      <c r="L24" s="68">
        <f>'JULYYTD '!L24-JUNEYTD!L24</f>
        <v>0</v>
      </c>
      <c r="M24" s="68">
        <f>'JULYYTD '!M24-JUNEYTD!M24</f>
        <v>0</v>
      </c>
      <c r="N24" s="68">
        <f t="shared" si="7"/>
        <v>0</v>
      </c>
      <c r="O24" s="68">
        <f>'JULYYTD '!O24-JUNEYTD!O24</f>
        <v>0</v>
      </c>
      <c r="P24" s="68">
        <f>'JULYYTD '!P24-JUNEYTD!P24</f>
        <v>0</v>
      </c>
      <c r="Q24" s="68">
        <f>'JULYYTD '!Q24-JUNEYTD!Q24</f>
        <v>0</v>
      </c>
      <c r="S24" s="68">
        <f>'JULYYTD '!S24-JUNEYTD!S24</f>
        <v>0</v>
      </c>
    </row>
    <row r="25" spans="1:19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'JULYYTD '!E25-JUNEYTD!E25</f>
        <v>0</v>
      </c>
      <c r="F25" s="68">
        <f>'JULYYTD '!F25-JUNEYTD!F25</f>
        <v>1</v>
      </c>
      <c r="G25" s="68">
        <f>'JULYYTD '!G25-JUNEYTD!G25</f>
        <v>0</v>
      </c>
      <c r="H25" s="68">
        <f>'JULYYTD '!H25-JUNEYTD!H25</f>
        <v>0</v>
      </c>
      <c r="I25" s="68">
        <f>'JULYYTD '!I25-JUNEYTD!I25</f>
        <v>0</v>
      </c>
      <c r="J25" s="68">
        <f>'JULYYTD '!J25-JUNEYTD!J25</f>
        <v>0</v>
      </c>
      <c r="K25" s="68">
        <f>'JULYYTD '!K25-JUNEYTD!K25</f>
        <v>0</v>
      </c>
      <c r="L25" s="68">
        <f>'JULYYTD '!L25-JUNEYTD!L25</f>
        <v>0</v>
      </c>
      <c r="M25" s="68">
        <f>'JULYYTD '!M25-JUNEYTD!M25</f>
        <v>0</v>
      </c>
      <c r="N25" s="68">
        <f t="shared" si="7"/>
        <v>0</v>
      </c>
      <c r="O25" s="68">
        <f>'JULYYTD '!O25-JUNEYTD!O25</f>
        <v>0</v>
      </c>
      <c r="P25" s="68">
        <f>'JULYYTD '!P25-JUNEYTD!P25</f>
        <v>0</v>
      </c>
      <c r="Q25" s="68">
        <f>'JULYYTD '!Q25-JUNEYTD!Q25</f>
        <v>0</v>
      </c>
      <c r="S25" s="68">
        <f>'JULYYTD '!S25-JUNEYTD!S25</f>
        <v>0</v>
      </c>
    </row>
    <row r="26" spans="1:19" ht="12.75" customHeight="1" outlineLevel="4" x14ac:dyDescent="0.2">
      <c r="A26" s="67" t="s">
        <v>11</v>
      </c>
      <c r="B26" s="63">
        <f t="shared" si="5"/>
        <v>15105</v>
      </c>
      <c r="C26" s="63"/>
      <c r="D26" s="68">
        <f t="shared" si="6"/>
        <v>15083</v>
      </c>
      <c r="E26" s="68">
        <f>'JULYYTD '!E26-JUNEYTD!E26</f>
        <v>7015</v>
      </c>
      <c r="F26" s="68">
        <f>'JULYYTD '!F26-JUNEYTD!F26</f>
        <v>35</v>
      </c>
      <c r="G26" s="68">
        <f>'JULYYTD '!G26-JUNEYTD!G26</f>
        <v>0</v>
      </c>
      <c r="H26" s="68">
        <f>'JULYYTD '!H26-JUNEYTD!H26</f>
        <v>749</v>
      </c>
      <c r="I26" s="68">
        <f>'JULYYTD '!I26-JUNEYTD!I26</f>
        <v>0</v>
      </c>
      <c r="J26" s="68">
        <f>'JULYYTD '!J26-JUNEYTD!J26</f>
        <v>400</v>
      </c>
      <c r="K26" s="68">
        <f>'JULYYTD '!K26-JUNEYTD!K26</f>
        <v>15</v>
      </c>
      <c r="L26" s="68">
        <f>'JULYYTD '!L26-JUNEYTD!L26</f>
        <v>0</v>
      </c>
      <c r="M26" s="68">
        <f>'JULYYTD '!M26-JUNEYTD!M26</f>
        <v>0</v>
      </c>
      <c r="N26" s="68">
        <f t="shared" si="7"/>
        <v>0</v>
      </c>
      <c r="O26" s="68">
        <f>'JULYYTD '!O26-JUNEYTD!O26</f>
        <v>1219</v>
      </c>
      <c r="P26" s="68">
        <f>'JULYYTD '!P26-JUNEYTD!P26</f>
        <v>5631</v>
      </c>
      <c r="Q26" s="68">
        <f>'JULYYTD '!Q26-JUNEYTD!Q26</f>
        <v>19</v>
      </c>
      <c r="S26" s="68">
        <f>'JULYYTD '!S26-JUNEYTD!S26</f>
        <v>22</v>
      </c>
    </row>
    <row r="27" spans="1:19" ht="12.75" customHeight="1" outlineLevel="4" x14ac:dyDescent="0.2">
      <c r="A27" s="62" t="s">
        <v>12</v>
      </c>
      <c r="B27" s="63">
        <f t="shared" si="5"/>
        <v>11396</v>
      </c>
      <c r="C27" s="63"/>
      <c r="D27" s="68">
        <f t="shared" si="6"/>
        <v>11396</v>
      </c>
      <c r="E27" s="68">
        <f>'JULYYTD '!E27-JUNEYTD!E27</f>
        <v>10415</v>
      </c>
      <c r="F27" s="68">
        <f>'JULYYTD '!F27-JUNEYTD!F27</f>
        <v>981</v>
      </c>
      <c r="G27" s="68">
        <f>'JULYYTD '!G27-JUNEYTD!G27</f>
        <v>0</v>
      </c>
      <c r="H27" s="68">
        <f>'JULYYTD '!H27-JUNEYTD!H27</f>
        <v>0</v>
      </c>
      <c r="I27" s="68">
        <f>'JULYYTD '!I27-JUNEYTD!I27</f>
        <v>0</v>
      </c>
      <c r="J27" s="68">
        <f>'JULYYTD '!J27-JUNEYTD!J27</f>
        <v>0</v>
      </c>
      <c r="K27" s="68">
        <f>'JULYYTD '!K27-JUNEYTD!K27</f>
        <v>0</v>
      </c>
      <c r="L27" s="68">
        <f>'JULYYTD '!L27-JUNEYTD!L27</f>
        <v>0</v>
      </c>
      <c r="M27" s="68">
        <f>'JULYYTD '!M27-JUNEYTD!M27</f>
        <v>0</v>
      </c>
      <c r="N27" s="68">
        <f t="shared" si="7"/>
        <v>0</v>
      </c>
      <c r="O27" s="68">
        <f>'JULYYTD '!O27-JUNEYTD!O27</f>
        <v>0</v>
      </c>
      <c r="P27" s="68">
        <f>'JULYYTD '!P27-JUNEYTD!P27</f>
        <v>0</v>
      </c>
      <c r="Q27" s="68">
        <f>'JULYYTD '!Q27-JUNEYTD!Q27</f>
        <v>0</v>
      </c>
      <c r="S27" s="68">
        <f>'JULYYTD '!S27-JUNEYTD!S27</f>
        <v>0</v>
      </c>
    </row>
    <row r="28" spans="1:19" ht="12.75" customHeight="1" outlineLevel="4" x14ac:dyDescent="0.2">
      <c r="A28" s="67" t="s">
        <v>13</v>
      </c>
      <c r="B28" s="63">
        <f t="shared" si="5"/>
        <v>628</v>
      </c>
      <c r="C28" s="63"/>
      <c r="D28" s="68">
        <f t="shared" si="6"/>
        <v>862</v>
      </c>
      <c r="E28" s="68">
        <f>'JULYYTD '!E28-JUNEYTD!E28</f>
        <v>1108</v>
      </c>
      <c r="F28" s="68">
        <f>'JULYYTD '!F28-JUNEYTD!F28</f>
        <v>592</v>
      </c>
      <c r="G28" s="68">
        <f>'JULYYTD '!G28-JUNEYTD!G28</f>
        <v>0</v>
      </c>
      <c r="H28" s="68">
        <f>'JULYYTD '!H28-JUNEYTD!H28</f>
        <v>-3</v>
      </c>
      <c r="I28" s="68">
        <f>'JULYYTD '!I28-JUNEYTD!I28</f>
        <v>0</v>
      </c>
      <c r="J28" s="68">
        <f>'JULYYTD '!J28-JUNEYTD!J28</f>
        <v>5</v>
      </c>
      <c r="K28" s="68">
        <f>'JULYYTD '!K28-JUNEYTD!K28</f>
        <v>1</v>
      </c>
      <c r="L28" s="68">
        <f>'JULYYTD '!L28-JUNEYTD!L28</f>
        <v>-310</v>
      </c>
      <c r="M28" s="68">
        <f>'JULYYTD '!M28-JUNEYTD!M28</f>
        <v>0</v>
      </c>
      <c r="N28" s="68">
        <f t="shared" si="7"/>
        <v>-310</v>
      </c>
      <c r="O28" s="68">
        <f>'JULYYTD '!O28-JUNEYTD!O28</f>
        <v>-531</v>
      </c>
      <c r="P28" s="68">
        <f>'JULYYTD '!P28-JUNEYTD!P28</f>
        <v>0</v>
      </c>
      <c r="Q28" s="68">
        <f>'JULYYTD '!Q28-JUNEYTD!Q28</f>
        <v>0</v>
      </c>
      <c r="S28" s="68">
        <f>+'JULYYTD '!S28-JUNEYTD!S28</f>
        <v>-234</v>
      </c>
    </row>
    <row r="29" spans="1:19" ht="12.75" customHeight="1" outlineLevel="4" x14ac:dyDescent="0.2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'JULYYTD '!E29-JUNEYTD!E29</f>
        <v>2875</v>
      </c>
      <c r="F29" s="68">
        <f>'JULYYTD '!F29-JUNEYTD!F29</f>
        <v>1073</v>
      </c>
      <c r="G29" s="68">
        <f>'JULYYTD '!G29-JUNEYTD!G29</f>
        <v>0</v>
      </c>
      <c r="H29" s="68">
        <f>'JULYYTD '!H29-JUNEYTD!H29</f>
        <v>0</v>
      </c>
      <c r="I29" s="68">
        <f>'JULYYTD '!I29-JUNEYTD!I29</f>
        <v>0</v>
      </c>
      <c r="J29" s="68">
        <f>'JULYYTD '!J29-JUNEYTD!J29</f>
        <v>0</v>
      </c>
      <c r="K29" s="68">
        <f>'JULYYTD '!K29-JUNEYTD!K29</f>
        <v>0</v>
      </c>
      <c r="L29" s="68">
        <f>'JULYYTD '!L29-JUNEYTD!L29</f>
        <v>0</v>
      </c>
      <c r="M29" s="68">
        <f>'JULYYTD '!M29-JUNEYTD!M29</f>
        <v>0</v>
      </c>
      <c r="N29" s="68">
        <f t="shared" si="7"/>
        <v>0</v>
      </c>
      <c r="O29" s="68">
        <f>'JULYYTD '!O29-JUNEYTD!O29</f>
        <v>0</v>
      </c>
      <c r="P29" s="68">
        <f>'JULYYTD '!P29-JUNEYTD!P29</f>
        <v>0</v>
      </c>
      <c r="Q29" s="68">
        <f>'JULYYTD '!Q29-JUNEYTD!Q29</f>
        <v>0</v>
      </c>
      <c r="S29" s="68">
        <f>+'JULYYTD '!S29-JUNEYTD!S29</f>
        <v>0</v>
      </c>
    </row>
    <row r="30" spans="1:19" ht="12.75" customHeight="1" outlineLevel="4" x14ac:dyDescent="0.2">
      <c r="A30" s="67" t="s">
        <v>30</v>
      </c>
      <c r="B30" s="69">
        <f t="shared" si="5"/>
        <v>1770</v>
      </c>
      <c r="C30" s="63"/>
      <c r="D30" s="68">
        <f t="shared" si="6"/>
        <v>1770</v>
      </c>
      <c r="E30" s="68">
        <f>'JULYYTD '!E30-JUNEYTD!E30</f>
        <v>1905</v>
      </c>
      <c r="F30" s="68">
        <f>'JULYYTD '!F30-JUNEYTD!F30</f>
        <v>153</v>
      </c>
      <c r="G30" s="68">
        <f>'JULYYTD '!G30-JUNEYTD!G30</f>
        <v>0</v>
      </c>
      <c r="H30" s="68">
        <f>'JULYYTD '!H30-JUNEYTD!H30</f>
        <v>-516</v>
      </c>
      <c r="I30" s="68">
        <f>'JULYYTD '!I30-JUNEYTD!I30</f>
        <v>0</v>
      </c>
      <c r="J30" s="68">
        <f>'JULYYTD '!J30-JUNEYTD!J30</f>
        <v>-122</v>
      </c>
      <c r="K30" s="68">
        <f>'JULYYTD '!K30-JUNEYTD!K30</f>
        <v>2</v>
      </c>
      <c r="L30" s="68">
        <f>'JULYYTD '!L30-JUNEYTD!L30</f>
        <v>0</v>
      </c>
      <c r="M30" s="68">
        <f>'JULYYTD '!M30-JUNEYTD!M30</f>
        <v>0</v>
      </c>
      <c r="N30" s="68">
        <f t="shared" si="7"/>
        <v>0</v>
      </c>
      <c r="O30" s="68">
        <f>'JULYYTD '!O30-JUNEYTD!O30</f>
        <v>352</v>
      </c>
      <c r="P30" s="68">
        <f>'JULYYTD '!P30-JUNEYTD!P30</f>
        <v>0</v>
      </c>
      <c r="Q30" s="68">
        <f>'JULYYTD '!Q30-JUNEYTD!Q30</f>
        <v>-4</v>
      </c>
      <c r="S30" s="68">
        <f>'JULYYTD '!S30-JUNEYTD!S30</f>
        <v>0</v>
      </c>
    </row>
    <row r="31" spans="1:19" ht="12.75" customHeight="1" outlineLevel="4" x14ac:dyDescent="0.2">
      <c r="A31" s="67" t="s">
        <v>33</v>
      </c>
      <c r="B31" s="84">
        <f>SUM(B21:B30)</f>
        <v>76047</v>
      </c>
      <c r="C31" s="74"/>
      <c r="D31" s="84">
        <f t="shared" ref="D31:Q31" si="8">SUM(D21:D30)</f>
        <v>76178</v>
      </c>
      <c r="E31" s="84">
        <f t="shared" si="8"/>
        <v>13405</v>
      </c>
      <c r="F31" s="84">
        <f t="shared" si="8"/>
        <v>-10219</v>
      </c>
      <c r="G31" s="84">
        <f t="shared" si="8"/>
        <v>0</v>
      </c>
      <c r="H31" s="84">
        <f t="shared" si="8"/>
        <v>-1848</v>
      </c>
      <c r="I31" s="84">
        <f t="shared" si="8"/>
        <v>-3</v>
      </c>
      <c r="J31" s="84">
        <f t="shared" si="8"/>
        <v>-488</v>
      </c>
      <c r="K31" s="84">
        <f t="shared" si="8"/>
        <v>-45</v>
      </c>
      <c r="L31" s="84">
        <f t="shared" si="8"/>
        <v>-3168</v>
      </c>
      <c r="M31" s="84">
        <f t="shared" si="8"/>
        <v>0</v>
      </c>
      <c r="N31" s="84">
        <f t="shared" si="8"/>
        <v>-3168</v>
      </c>
      <c r="O31" s="84">
        <f t="shared" si="8"/>
        <v>-8846</v>
      </c>
      <c r="P31" s="84">
        <f t="shared" si="8"/>
        <v>87255</v>
      </c>
      <c r="Q31" s="84">
        <f t="shared" si="8"/>
        <v>135</v>
      </c>
      <c r="S31" s="84">
        <f>SUM(S21:S30)</f>
        <v>-131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64970.68499999999</v>
      </c>
      <c r="C33" s="63"/>
      <c r="D33" s="75">
        <f t="shared" ref="D33:Q33" si="9">D19+D31</f>
        <v>67807.739999999991</v>
      </c>
      <c r="E33" s="75">
        <f t="shared" si="9"/>
        <v>18440.34699999998</v>
      </c>
      <c r="F33" s="75">
        <f t="shared" si="9"/>
        <v>-361.81299999998919</v>
      </c>
      <c r="G33" s="75">
        <f t="shared" si="9"/>
        <v>0</v>
      </c>
      <c r="H33" s="75">
        <f t="shared" si="9"/>
        <v>-1547.4300000000007</v>
      </c>
      <c r="I33" s="75">
        <f t="shared" si="9"/>
        <v>-1.0839999999999987</v>
      </c>
      <c r="J33" s="75">
        <f t="shared" si="9"/>
        <v>-146.60799999999989</v>
      </c>
      <c r="K33" s="75">
        <f t="shared" si="9"/>
        <v>-54.980000000000146</v>
      </c>
      <c r="L33" s="75">
        <f t="shared" si="9"/>
        <v>-33151.585999999996</v>
      </c>
      <c r="M33" s="75">
        <f t="shared" si="9"/>
        <v>0</v>
      </c>
      <c r="N33" s="75">
        <f t="shared" si="9"/>
        <v>-33151.585999999996</v>
      </c>
      <c r="O33" s="75">
        <f t="shared" si="9"/>
        <v>-2596.2419999999975</v>
      </c>
      <c r="P33" s="75">
        <f>P19+P31</f>
        <v>87229.046000000002</v>
      </c>
      <c r="Q33" s="75">
        <f t="shared" si="9"/>
        <v>-1.9100000000000534</v>
      </c>
      <c r="S33" s="75">
        <f>S19+S31</f>
        <v>-2837.0550000000007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10">D36+S36</f>
        <v>0</v>
      </c>
      <c r="C36" s="63"/>
      <c r="D36" s="68">
        <f t="shared" ref="D36:D41" si="11">SUM(E36:M36)+O36+P36+Q36</f>
        <v>0</v>
      </c>
      <c r="E36" s="68">
        <f>'JULYYTD '!E36-JUNEYTD!E36</f>
        <v>0</v>
      </c>
      <c r="F36" s="68">
        <f>'JULYYTD '!F36-JUNEYTD!F36</f>
        <v>0</v>
      </c>
      <c r="G36" s="68">
        <f>'JULYYTD '!G36-JUNEYTD!G36</f>
        <v>0</v>
      </c>
      <c r="H36" s="68">
        <f>'JULYYTD '!H36-JUNEYTD!H36</f>
        <v>0</v>
      </c>
      <c r="I36" s="68">
        <f>'JULYYTD '!I36-JUNEYTD!I36</f>
        <v>0</v>
      </c>
      <c r="J36" s="68">
        <f>'JULYYTD '!J36-JUNEYTD!J36</f>
        <v>0</v>
      </c>
      <c r="K36" s="68">
        <f>'JULYYTD '!K36-JUNEYTD!K36</f>
        <v>0</v>
      </c>
      <c r="L36" s="68">
        <f>'JULYYTD '!L36-JUNEYTD!L36</f>
        <v>0</v>
      </c>
      <c r="M36" s="68">
        <f>'JULYYTD '!M36-JUNEYTD!M36</f>
        <v>0</v>
      </c>
      <c r="N36" s="68">
        <f t="shared" ref="N36:N41" si="12">M36+L36</f>
        <v>0</v>
      </c>
      <c r="O36" s="68">
        <f>'JULYYTD '!O36-JUNEYTD!O36</f>
        <v>0</v>
      </c>
      <c r="P36" s="68">
        <f>'JULYYTD '!P36-JUNEYTD!P36</f>
        <v>0</v>
      </c>
      <c r="Q36" s="68">
        <f>'JULYYTD '!Q36-JUNEYTD!Q36</f>
        <v>0</v>
      </c>
      <c r="S36" s="68">
        <f>'JULYYTD '!S36-JUNEYTD!S36</f>
        <v>0</v>
      </c>
    </row>
    <row r="37" spans="1:19" ht="12.75" customHeight="1" outlineLevel="4" x14ac:dyDescent="0.2">
      <c r="A37" s="62" t="s">
        <v>17</v>
      </c>
      <c r="B37" s="63">
        <f t="shared" si="10"/>
        <v>-7403</v>
      </c>
      <c r="C37" s="63"/>
      <c r="D37" s="68">
        <f t="shared" si="11"/>
        <v>-7403</v>
      </c>
      <c r="E37" s="68">
        <f>'JULYYTD '!E37-JUNEYTD!E37</f>
        <v>-4692</v>
      </c>
      <c r="F37" s="68">
        <f>'JULYYTD '!F37-JUNEYTD!F37</f>
        <v>-2711</v>
      </c>
      <c r="G37" s="68">
        <f>'JULYYTD '!G37-JUNEYTD!G37</f>
        <v>0</v>
      </c>
      <c r="H37" s="68">
        <f>'JULYYTD '!H37-JUNEYTD!H37</f>
        <v>0</v>
      </c>
      <c r="I37" s="68">
        <f>'JULYYTD '!I37-JUNEYTD!I37</f>
        <v>0</v>
      </c>
      <c r="J37" s="68">
        <f>'JULYYTD '!J37-JUNEYTD!J37</f>
        <v>0</v>
      </c>
      <c r="K37" s="68">
        <f>'JULYYTD '!K37-JUNEYTD!K37</f>
        <v>0</v>
      </c>
      <c r="L37" s="68">
        <f>'JULYYTD '!L37-JUNEYTD!L37</f>
        <v>0</v>
      </c>
      <c r="M37" s="68">
        <f>'JULYYTD '!M37-JUNEYTD!M37</f>
        <v>0</v>
      </c>
      <c r="N37" s="68">
        <f t="shared" si="12"/>
        <v>0</v>
      </c>
      <c r="O37" s="68">
        <f>'JULYYTD '!O37-JUNEYTD!O37</f>
        <v>0</v>
      </c>
      <c r="P37" s="68">
        <f>'JULYYTD '!P37-JUNEYTD!P37</f>
        <v>0</v>
      </c>
      <c r="Q37" s="68">
        <f>'JULYYTD '!Q37-JUNEYTD!Q37</f>
        <v>0</v>
      </c>
      <c r="S37" s="68">
        <f>'JULYYTD '!S37-JUNEYTD!S37</f>
        <v>0</v>
      </c>
    </row>
    <row r="38" spans="1:19" ht="12.75" customHeight="1" outlineLevel="4" x14ac:dyDescent="0.2">
      <c r="A38" s="62" t="s">
        <v>104</v>
      </c>
      <c r="B38" s="63">
        <f t="shared" si="10"/>
        <v>-20332</v>
      </c>
      <c r="C38" s="63"/>
      <c r="D38" s="68">
        <f t="shared" si="11"/>
        <v>-20332</v>
      </c>
      <c r="E38" s="68">
        <f>'JULYYTD '!E38-JUNEYTD!E38</f>
        <v>-19978</v>
      </c>
      <c r="F38" s="68">
        <f>'JULYYTD '!F38-JUNEYTD!F38</f>
        <v>-354</v>
      </c>
      <c r="G38" s="68">
        <f>'JULYYTD '!G38-JUNEYTD!G38</f>
        <v>0</v>
      </c>
      <c r="H38" s="68">
        <f>'JULYYTD '!H38-JUNEYTD!H38</f>
        <v>0</v>
      </c>
      <c r="I38" s="68">
        <f>'JULYYTD '!I38-JUNEYTD!I38</f>
        <v>0</v>
      </c>
      <c r="J38" s="68">
        <f>'JULYYTD '!J38-JUNEYTD!J38</f>
        <v>0</v>
      </c>
      <c r="K38" s="68">
        <f>'JULYYTD '!K38-JUNEYTD!K38</f>
        <v>0</v>
      </c>
      <c r="L38" s="68">
        <f>'JULYYTD '!L38-JUNEYTD!L38</f>
        <v>0</v>
      </c>
      <c r="M38" s="68">
        <f>'JULYYTD '!M38-JUNEYTD!M38</f>
        <v>0</v>
      </c>
      <c r="N38" s="68">
        <f t="shared" si="12"/>
        <v>0</v>
      </c>
      <c r="O38" s="68">
        <f>'JULYYTD '!O38-JUNEYTD!O38</f>
        <v>0</v>
      </c>
      <c r="P38" s="68">
        <f>'JULYYTD '!P38-JUNEYTD!P38</f>
        <v>0</v>
      </c>
      <c r="Q38" s="68">
        <f>'JULYYTD '!Q38-JUNEYTD!Q38</f>
        <v>0</v>
      </c>
      <c r="S38" s="68">
        <f>'JULYYTD '!S38-JUNEYTD!S38</f>
        <v>0</v>
      </c>
    </row>
    <row r="39" spans="1:19" ht="12.75" customHeight="1" outlineLevel="4" x14ac:dyDescent="0.2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'JULYYTD '!E39-JUNEYTD!E39</f>
        <v>0</v>
      </c>
      <c r="F39" s="68">
        <f>'JULYYTD '!F39-JUNEYTD!F39</f>
        <v>0</v>
      </c>
      <c r="G39" s="68">
        <f>'JULYYTD '!G39-JUNEYTD!G39</f>
        <v>0</v>
      </c>
      <c r="H39" s="68">
        <f>'JULYYTD '!H39-JUNEYTD!H39</f>
        <v>0</v>
      </c>
      <c r="I39" s="68">
        <f>'JULYYTD '!I39-JUNEYTD!I39</f>
        <v>0</v>
      </c>
      <c r="J39" s="68">
        <f>'JULYYTD '!J39-JUNEYTD!J39</f>
        <v>0</v>
      </c>
      <c r="K39" s="68">
        <f>'JULYYTD '!K39-JUNEYTD!K39</f>
        <v>0</v>
      </c>
      <c r="L39" s="68">
        <f>'JULYYTD '!L39-JUNEYTD!L39</f>
        <v>0</v>
      </c>
      <c r="M39" s="68">
        <f>'JULYYTD '!M39-JUNEYTD!M39</f>
        <v>0</v>
      </c>
      <c r="N39" s="68">
        <f t="shared" si="12"/>
        <v>0</v>
      </c>
      <c r="O39" s="68">
        <f>'JULYYTD '!O39-JUNEYTD!O39</f>
        <v>0</v>
      </c>
      <c r="P39" s="68">
        <f>'JULYYTD '!P39-JUNEYTD!P39</f>
        <v>0</v>
      </c>
      <c r="Q39" s="68">
        <f>'JULYYTD '!Q39-JUNEYTD!Q39</f>
        <v>0</v>
      </c>
      <c r="S39" s="68">
        <f>'JULYYTD '!S39-JUNEYTD!S39</f>
        <v>0</v>
      </c>
    </row>
    <row r="40" spans="1:19" ht="12.75" customHeight="1" outlineLevel="4" x14ac:dyDescent="0.2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'JULYYTD '!E40-JUNEYTD!E40</f>
        <v>0</v>
      </c>
      <c r="F40" s="68">
        <f>'JULYYTD '!F40-JUNEYTD!F40</f>
        <v>0</v>
      </c>
      <c r="G40" s="68">
        <f>'JULYYTD '!G40-JUNEYTD!G40</f>
        <v>0</v>
      </c>
      <c r="H40" s="68">
        <f>'JULYYTD '!H40-JUNEYTD!H40</f>
        <v>0</v>
      </c>
      <c r="I40" s="68">
        <f>'JULYYTD '!I40-JUNEYTD!I40</f>
        <v>0</v>
      </c>
      <c r="J40" s="68">
        <f>'JULYYTD '!J40-JUNEYTD!J40</f>
        <v>0</v>
      </c>
      <c r="K40" s="68">
        <f>'JULYYTD '!K40-JUNEYTD!K40</f>
        <v>0</v>
      </c>
      <c r="L40" s="68">
        <f>'JULYYTD '!L40-JUNEYTD!L40</f>
        <v>0</v>
      </c>
      <c r="M40" s="68">
        <f>'JULYYTD '!M40-JUNEYTD!M40</f>
        <v>0</v>
      </c>
      <c r="N40" s="68">
        <f t="shared" si="12"/>
        <v>0</v>
      </c>
      <c r="O40" s="68">
        <f>'JULYYTD '!O40-JUNEYTD!O40</f>
        <v>0</v>
      </c>
      <c r="P40" s="68">
        <f>'JULYYTD '!P40-JUNEYTD!P40</f>
        <v>0</v>
      </c>
      <c r="Q40" s="68">
        <f>'JULYYTD '!Q40-JUNEYTD!Q40</f>
        <v>0</v>
      </c>
      <c r="S40" s="68">
        <f>'JULYYTD '!S40-JUNEYTD!S40</f>
        <v>0</v>
      </c>
    </row>
    <row r="41" spans="1:19" ht="12.75" customHeight="1" outlineLevel="4" x14ac:dyDescent="0.2">
      <c r="A41" s="67" t="s">
        <v>41</v>
      </c>
      <c r="B41" s="69">
        <f t="shared" si="10"/>
        <v>0</v>
      </c>
      <c r="C41" s="63"/>
      <c r="D41" s="70">
        <f t="shared" si="11"/>
        <v>0</v>
      </c>
      <c r="E41" s="70">
        <f>'JULYYTD '!E41-JUNEYTD!E41</f>
        <v>0</v>
      </c>
      <c r="F41" s="70">
        <f>'JULYYTD '!F41-JUNEYTD!F41</f>
        <v>0</v>
      </c>
      <c r="G41" s="70">
        <f>'JULYYTD '!G41-JUNEYTD!G41</f>
        <v>0</v>
      </c>
      <c r="H41" s="70">
        <f>'JULYYTD '!H41-JUNEYTD!H41</f>
        <v>0</v>
      </c>
      <c r="I41" s="70">
        <f>'JULYYTD '!I41-JUNEYTD!I41</f>
        <v>0</v>
      </c>
      <c r="J41" s="70">
        <f>'JULYYTD '!J41-JUNEYTD!J41</f>
        <v>0</v>
      </c>
      <c r="K41" s="70">
        <f>'JULYYTD '!K41-JUNEYTD!K41</f>
        <v>0</v>
      </c>
      <c r="L41" s="70">
        <f>'JULYYTD '!L41-JUNEYTD!L41</f>
        <v>0</v>
      </c>
      <c r="M41" s="70">
        <f>'JULYYTD '!M41-JUNEYTD!M41</f>
        <v>0</v>
      </c>
      <c r="N41" s="70">
        <f t="shared" si="12"/>
        <v>0</v>
      </c>
      <c r="O41" s="70">
        <f>'JULYYTD '!O41-JUNEYTD!O41</f>
        <v>0</v>
      </c>
      <c r="P41" s="70">
        <f>'JULYYTD '!P41-JUNEYTD!P41</f>
        <v>0</v>
      </c>
      <c r="Q41" s="70">
        <f>'JULYYTD '!Q41-JUNEYTD!Q41</f>
        <v>0</v>
      </c>
      <c r="S41" s="70">
        <f>'JULYYTD '!S41-JUNEYTD!S41</f>
        <v>0</v>
      </c>
    </row>
    <row r="42" spans="1:19" ht="12.75" customHeight="1" outlineLevel="3" x14ac:dyDescent="0.2">
      <c r="A42" s="62" t="s">
        <v>18</v>
      </c>
      <c r="B42" s="75">
        <f t="shared" ref="B42:Q42" si="13">SUM(B36:B41)</f>
        <v>-27735</v>
      </c>
      <c r="C42" s="77">
        <f t="shared" si="13"/>
        <v>0</v>
      </c>
      <c r="D42" s="75">
        <f t="shared" si="13"/>
        <v>-27735</v>
      </c>
      <c r="E42" s="75">
        <f t="shared" si="13"/>
        <v>-24670</v>
      </c>
      <c r="F42" s="75">
        <f t="shared" si="13"/>
        <v>-3065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3">
        <f>SUM(S36:S41)</f>
        <v>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'JULYYTD '!E45-JUNEYTD!E45</f>
        <v>0</v>
      </c>
      <c r="F45" s="68">
        <f>'JULYYTD '!F45-JUNEYTD!F45</f>
        <v>0</v>
      </c>
      <c r="G45" s="68">
        <f>'JULYYTD '!G45-JUNEYTD!G45</f>
        <v>0</v>
      </c>
      <c r="H45" s="68">
        <f>'JULYYTD '!H45-JUNEYTD!H45</f>
        <v>0</v>
      </c>
      <c r="I45" s="68">
        <f>'JULYYTD '!I45-JUNEYTD!I45</f>
        <v>0</v>
      </c>
      <c r="J45" s="68">
        <f>'JULYYTD '!J45-JUNEYTD!J45</f>
        <v>0</v>
      </c>
      <c r="K45" s="68">
        <f>'JULYYTD '!K45-JUNEYTD!K45</f>
        <v>0</v>
      </c>
      <c r="L45" s="68">
        <f>'JULYYTD '!L45-JUNEYTD!L45</f>
        <v>0</v>
      </c>
      <c r="M45" s="68">
        <f>'JULYYTD '!M45-JUNEYTD!M45</f>
        <v>0</v>
      </c>
      <c r="N45" s="68">
        <f>M45+L45</f>
        <v>0</v>
      </c>
      <c r="O45" s="68">
        <f>'JULYYTD '!O45-JUNEYTD!O45</f>
        <v>0</v>
      </c>
      <c r="P45" s="68">
        <f>'JULYYTD '!P45-JUNEYTD!P45</f>
        <v>0</v>
      </c>
      <c r="Q45" s="68">
        <f>'JULYYTD '!Q45-JUNEYTD!Q45</f>
        <v>0</v>
      </c>
      <c r="S45" s="68">
        <f>'JULYYTD '!S45-JUNEYTD!S45</f>
        <v>0</v>
      </c>
    </row>
    <row r="46" spans="1:19" ht="12.75" customHeight="1" outlineLevel="4" x14ac:dyDescent="0.2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'JULYYTD '!E46-JUNEYTD!E46</f>
        <v>0</v>
      </c>
      <c r="F46" s="68">
        <f>'JULYYTD '!F46-JUNEYTD!F46</f>
        <v>0</v>
      </c>
      <c r="G46" s="68">
        <f>'JULYYTD '!G46-JUNEYTD!G46</f>
        <v>0</v>
      </c>
      <c r="H46" s="68">
        <f>'JULYYTD '!H46-JUNEYTD!H46</f>
        <v>0</v>
      </c>
      <c r="I46" s="68">
        <f>'JULYYTD '!I46-JUNEYTD!I46</f>
        <v>0</v>
      </c>
      <c r="J46" s="68">
        <f>'JULYYTD '!J46-JUNEYTD!J46</f>
        <v>0</v>
      </c>
      <c r="K46" s="68">
        <f>'JULYYTD '!K46-JUNEYTD!K46</f>
        <v>0</v>
      </c>
      <c r="L46" s="68">
        <f>'JULYYTD '!L46-JUNEYTD!L46</f>
        <v>0</v>
      </c>
      <c r="M46" s="68">
        <f>'JULYYTD '!M46-JUNEYTD!M46</f>
        <v>0</v>
      </c>
      <c r="N46" s="68">
        <f>M46+L46</f>
        <v>0</v>
      </c>
      <c r="O46" s="68">
        <f>'JULYYTD '!O46-JUNEYTD!O46</f>
        <v>0</v>
      </c>
      <c r="P46" s="68">
        <f>'JULYYTD '!P46-JUNEYTD!P46</f>
        <v>0</v>
      </c>
      <c r="Q46" s="68">
        <f>'JULYYTD '!Q46-JUNEYTD!Q46</f>
        <v>0</v>
      </c>
      <c r="S46" s="68">
        <f>'JULYYTD '!S46-JUNEYTD!S46</f>
        <v>0</v>
      </c>
    </row>
    <row r="47" spans="1:19" ht="12.75" customHeight="1" outlineLevel="4" x14ac:dyDescent="0.2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'JULYYTD '!E47-JUNEYTD!E47</f>
        <v>0</v>
      </c>
      <c r="F47" s="68">
        <f>'JULYYTD '!F47-JUNEYTD!F47</f>
        <v>0</v>
      </c>
      <c r="G47" s="68">
        <f>'JULYYTD '!G47-JUNEYTD!G47</f>
        <v>0</v>
      </c>
      <c r="H47" s="68">
        <f>'JULYYTD '!H47-JUNEYTD!H47</f>
        <v>0</v>
      </c>
      <c r="I47" s="68">
        <f>'JULYYTD '!I47-JUNEYTD!I47</f>
        <v>0</v>
      </c>
      <c r="J47" s="68">
        <f>'JULYYTD '!J47-JUNEYTD!J47</f>
        <v>0</v>
      </c>
      <c r="K47" s="68">
        <f>'JULYYTD '!K47-JUNEYTD!K47</f>
        <v>0</v>
      </c>
      <c r="L47" s="68">
        <f>'JULYYTD '!L47-JUNEYTD!L47</f>
        <v>0</v>
      </c>
      <c r="M47" s="68">
        <f>'JULYYTD '!M47-JUNEYTD!M47</f>
        <v>0</v>
      </c>
      <c r="N47" s="68">
        <f>M47+L47</f>
        <v>0</v>
      </c>
      <c r="O47" s="68">
        <f>'JULYYTD '!O47-JUNEYTD!O47</f>
        <v>0</v>
      </c>
      <c r="P47" s="68">
        <f>'JULYYTD '!P47-JUNEYTD!P47</f>
        <v>0</v>
      </c>
      <c r="Q47" s="68">
        <f>'JULYYTD '!Q47-JUNEYTD!Q47</f>
        <v>0</v>
      </c>
      <c r="S47" s="68">
        <f>'JULYYTD '!S47-JUNEYTD!S47</f>
        <v>0</v>
      </c>
    </row>
    <row r="48" spans="1:19" ht="12.75" customHeight="1" outlineLevel="4" x14ac:dyDescent="0.2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>
        <f>'JULYYTD '!E48-JUNEYTD!E48</f>
        <v>0</v>
      </c>
      <c r="F48" s="68">
        <f>'JULYYTD '!F48-JUNEYTD!F48</f>
        <v>0</v>
      </c>
      <c r="G48" s="68">
        <f>'JULYYTD '!G48-JUNEYTD!G48</f>
        <v>0</v>
      </c>
      <c r="H48" s="68">
        <f>'JULYYTD '!H48-JUNEYTD!H48</f>
        <v>0</v>
      </c>
      <c r="I48" s="68">
        <f>'JULYYTD '!I48-JUNEYTD!I48</f>
        <v>0</v>
      </c>
      <c r="J48" s="68">
        <f>'JULYYTD '!J48-JUNEYTD!J48</f>
        <v>0</v>
      </c>
      <c r="K48" s="68">
        <f>'JULYYTD '!K48-JUNEYTD!K48</f>
        <v>0</v>
      </c>
      <c r="L48" s="68">
        <f>'JULYYTD '!L48-JUNEYTD!L48</f>
        <v>0</v>
      </c>
      <c r="M48" s="68">
        <f>'JULYYTD '!M48-JUNEYTD!M48</f>
        <v>0</v>
      </c>
      <c r="N48" s="68">
        <f>M48+L48</f>
        <v>0</v>
      </c>
      <c r="O48" s="68">
        <f>'JULYYTD '!O48-JUNEYTD!O48</f>
        <v>0</v>
      </c>
      <c r="P48" s="68">
        <f>'JULYYTD '!P48-JUNEYTD!P48</f>
        <v>0</v>
      </c>
      <c r="Q48" s="68">
        <f>'JULYYTD '!Q48-JUNEYTD!Q48</f>
        <v>0</v>
      </c>
      <c r="S48" s="68">
        <f>'JULYYTD '!S48-JUNEYTD!S48</f>
        <v>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'JULYYTD '!E49-JUNEYTD!E49</f>
        <v>0</v>
      </c>
      <c r="F49" s="68">
        <f>'JULYYTD '!F49-JUNEYTD!F49</f>
        <v>0</v>
      </c>
      <c r="G49" s="68">
        <f>'JULYYTD '!G49-JUNEYTD!G49</f>
        <v>0</v>
      </c>
      <c r="H49" s="68">
        <f>'JULYYTD '!H49-JUNEYTD!H49</f>
        <v>0</v>
      </c>
      <c r="I49" s="68">
        <f>'JULYYTD '!I49-JUNEYTD!I49</f>
        <v>0</v>
      </c>
      <c r="J49" s="68">
        <f>'JULYYTD '!J49-JUNEYTD!J49</f>
        <v>0</v>
      </c>
      <c r="K49" s="68">
        <f>'JULYYTD '!K49-JUNEYTD!K49</f>
        <v>0</v>
      </c>
      <c r="L49" s="68">
        <f>'JULYYTD '!L49-JUNEYTD!L49</f>
        <v>0</v>
      </c>
      <c r="M49" s="68">
        <f>'JULYYTD '!M49-JUNEYTD!M49</f>
        <v>0</v>
      </c>
      <c r="N49" s="68">
        <f>M49+L49</f>
        <v>0</v>
      </c>
      <c r="O49" s="68">
        <f>'JULYYTD '!O49-JUNEYTD!O49</f>
        <v>0</v>
      </c>
      <c r="P49" s="68">
        <f>'JULYYTD '!P49-JUNEYTD!P49</f>
        <v>0</v>
      </c>
      <c r="Q49" s="68">
        <f>'JULYYTD '!Q49-JUNEYTD!Q49</f>
        <v>0</v>
      </c>
      <c r="S49" s="68">
        <f>'JULYYTD '!S49-JUNEYTD!S49</f>
        <v>0</v>
      </c>
    </row>
    <row r="50" spans="1:19" ht="12.75" customHeight="1" outlineLevel="3" x14ac:dyDescent="0.2">
      <c r="A50" s="62" t="s">
        <v>19</v>
      </c>
      <c r="B50" s="79">
        <f>SUM(B45:B49)</f>
        <v>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39768.68499999999</v>
      </c>
      <c r="C52" s="63"/>
      <c r="D52" s="77">
        <f t="shared" ref="D52:M52" si="15">D33+D42+D50</f>
        <v>40072.739999999991</v>
      </c>
      <c r="E52" s="77">
        <f t="shared" si="15"/>
        <v>-6229.6530000000203</v>
      </c>
      <c r="F52" s="77">
        <f t="shared" si="15"/>
        <v>-3426.8129999999892</v>
      </c>
      <c r="G52" s="77">
        <f t="shared" si="15"/>
        <v>0</v>
      </c>
      <c r="H52" s="77">
        <f t="shared" si="15"/>
        <v>-1547.4300000000007</v>
      </c>
      <c r="I52" s="77">
        <f t="shared" si="15"/>
        <v>-1.0839999999999987</v>
      </c>
      <c r="J52" s="77">
        <f t="shared" si="15"/>
        <v>-146.60799999999989</v>
      </c>
      <c r="K52" s="77">
        <f t="shared" si="15"/>
        <v>-54.980000000000146</v>
      </c>
      <c r="L52" s="77">
        <f t="shared" si="15"/>
        <v>-33151.585999999996</v>
      </c>
      <c r="M52" s="77">
        <f t="shared" si="15"/>
        <v>0</v>
      </c>
      <c r="N52" s="77">
        <f>M52+L52</f>
        <v>-33151.585999999996</v>
      </c>
      <c r="O52" s="77">
        <f>O33+O42+O50</f>
        <v>-2596.2419999999975</v>
      </c>
      <c r="P52" s="77">
        <f>P33+P42+P50</f>
        <v>87229.046000000002</v>
      </c>
      <c r="Q52" s="77">
        <f>Q33+Q42+Q50</f>
        <v>-1.9100000000000534</v>
      </c>
      <c r="S52" s="77">
        <f>S33+S42+S50</f>
        <v>-304.05500000000075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161</v>
      </c>
      <c r="C54" s="63"/>
      <c r="D54" s="70">
        <f>SUM(E54:M54)+O54+P54+Q54</f>
        <v>94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'JULYYTD '!P54-JUNEYTD!P54</f>
        <v>84</v>
      </c>
      <c r="Q54" s="80">
        <f>'JULYYTD '!Q54-JUNEYTD!Q54</f>
        <v>10</v>
      </c>
      <c r="S54" s="80">
        <f>'JULYYTD '!S54-JUNEYTD!S54</f>
        <v>67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46"/>
    </row>
    <row r="56" spans="1:19" ht="12.75" customHeight="1" outlineLevel="1" thickBot="1" x14ac:dyDescent="0.25">
      <c r="A56" s="67" t="s">
        <v>27</v>
      </c>
      <c r="B56" s="81">
        <f>+B52-B54</f>
        <v>39607.68499999999</v>
      </c>
      <c r="C56" s="63"/>
      <c r="D56" s="81">
        <f>+D52-D54</f>
        <v>39978.739999999991</v>
      </c>
      <c r="E56" s="81">
        <f t="shared" ref="E56:O56" si="16">E54+E52</f>
        <v>-6229.6530000000203</v>
      </c>
      <c r="F56" s="81">
        <f t="shared" si="16"/>
        <v>-3426.8129999999892</v>
      </c>
      <c r="G56" s="81">
        <f t="shared" si="16"/>
        <v>0</v>
      </c>
      <c r="H56" s="81">
        <f t="shared" si="16"/>
        <v>-1547.4300000000007</v>
      </c>
      <c r="I56" s="81">
        <f t="shared" si="16"/>
        <v>-1.0839999999999987</v>
      </c>
      <c r="J56" s="81">
        <f t="shared" si="16"/>
        <v>-146.60799999999989</v>
      </c>
      <c r="K56" s="81">
        <f t="shared" si="16"/>
        <v>-54.980000000000146</v>
      </c>
      <c r="L56" s="81">
        <f t="shared" si="16"/>
        <v>-33151.585999999996</v>
      </c>
      <c r="M56" s="81">
        <f t="shared" si="16"/>
        <v>0</v>
      </c>
      <c r="N56" s="81">
        <f t="shared" si="16"/>
        <v>-33151.585999999996</v>
      </c>
      <c r="O56" s="81">
        <f t="shared" si="16"/>
        <v>-2596.2419999999975</v>
      </c>
      <c r="P56" s="81">
        <f>P52-P54</f>
        <v>87145.046000000002</v>
      </c>
      <c r="Q56" s="81">
        <f>+Q52-Q54</f>
        <v>-11.910000000000053</v>
      </c>
      <c r="S56" s="81">
        <f>+S52-S54</f>
        <v>-371.05500000000075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-6</v>
      </c>
      <c r="C58" s="46"/>
      <c r="D58" s="70">
        <f>SUM(E58:Q58)</f>
        <v>-6</v>
      </c>
      <c r="E58" s="70">
        <f>'JULYYTD '!E58-JUNEYTD!E58</f>
        <v>-6</v>
      </c>
      <c r="F58" s="70">
        <f>'JULYYTD '!F58-JUNEYTD!F58</f>
        <v>0</v>
      </c>
      <c r="G58" s="70">
        <f>'JULYYTD '!G58-JUNEYTD!G58</f>
        <v>0</v>
      </c>
      <c r="H58" s="70">
        <f>'JULYYTD '!H58-JUNEYTD!H58</f>
        <v>0</v>
      </c>
      <c r="I58" s="70">
        <f>'JULYYTD '!I58-JUNEYTD!I58</f>
        <v>0</v>
      </c>
      <c r="J58" s="70">
        <f>'JULYYTD '!J58-JUNEYTD!J58</f>
        <v>2</v>
      </c>
      <c r="K58" s="70">
        <f>'JULYYTD '!K58-JUNEYTD!K58</f>
        <v>-2</v>
      </c>
      <c r="L58" s="70">
        <f>'JULYYTD '!L58-JUNEYTD!L58</f>
        <v>0</v>
      </c>
      <c r="M58" s="70">
        <f>'JULYYTD '!M58-JUNEYTD!M58</f>
        <v>0</v>
      </c>
      <c r="N58" s="80">
        <v>0</v>
      </c>
      <c r="O58" s="70">
        <f>'JULYYTD '!O58-JUNEYTD!O58</f>
        <v>0</v>
      </c>
      <c r="P58" s="70">
        <f>'JULYYTD '!P58-JUNEYTD!P58</f>
        <v>0</v>
      </c>
      <c r="Q58" s="70">
        <f>'JULYYTD '!Q58-JUNEYTD!Q58</f>
        <v>0</v>
      </c>
      <c r="S58" s="55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39601.68499999999</v>
      </c>
      <c r="C60" s="46"/>
      <c r="D60" s="81">
        <f t="shared" ref="D60:M60" si="17">D56+D58</f>
        <v>39972.739999999991</v>
      </c>
      <c r="E60" s="81">
        <f t="shared" si="17"/>
        <v>-6235.6530000000203</v>
      </c>
      <c r="F60" s="81">
        <f t="shared" si="17"/>
        <v>-3426.8129999999892</v>
      </c>
      <c r="G60" s="81">
        <f t="shared" si="17"/>
        <v>0</v>
      </c>
      <c r="H60" s="81">
        <f t="shared" si="17"/>
        <v>-1547.4300000000007</v>
      </c>
      <c r="I60" s="81">
        <f t="shared" si="17"/>
        <v>-1.0839999999999987</v>
      </c>
      <c r="J60" s="81">
        <f t="shared" si="17"/>
        <v>-144.60799999999989</v>
      </c>
      <c r="K60" s="81">
        <f t="shared" si="17"/>
        <v>-56.980000000000146</v>
      </c>
      <c r="L60" s="81">
        <f t="shared" si="17"/>
        <v>-33151.585999999996</v>
      </c>
      <c r="M60" s="81">
        <f t="shared" si="17"/>
        <v>0</v>
      </c>
      <c r="N60" s="81">
        <f>M60+L60</f>
        <v>-33151.585999999996</v>
      </c>
      <c r="O60" s="81">
        <f>O56+O58</f>
        <v>-2596.2419999999975</v>
      </c>
      <c r="P60" s="81">
        <f>P56+P58</f>
        <v>87145.046000000002</v>
      </c>
      <c r="Q60" s="81">
        <f>Q56+Q58</f>
        <v>-11.910000000000053</v>
      </c>
      <c r="S60" s="81">
        <f>S56+S58</f>
        <v>-371.05500000000075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N22" sqref="N22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158504.09699999995</v>
      </c>
      <c r="C8" s="63"/>
      <c r="D8" s="68">
        <f>SUM(E8:M8)+O8+P8+Q8</f>
        <v>158597.58499999996</v>
      </c>
      <c r="E8" s="68">
        <f>+'[14]07YTD '!J65</f>
        <v>100281.35299999997</v>
      </c>
      <c r="F8" s="68">
        <f>+'[14]07YTD '!K65</f>
        <v>35416.794999999998</v>
      </c>
      <c r="G8" s="68">
        <f>+'[14]07YTD '!L65</f>
        <v>18411.357</v>
      </c>
      <c r="H8" s="68">
        <f>+'[14]07YTD '!M65</f>
        <v>2024.5079999999998</v>
      </c>
      <c r="I8" s="68">
        <f>+'[14]07YTD '!N65</f>
        <v>1.6180000000000001</v>
      </c>
      <c r="J8" s="68">
        <f>+'[14]07YTD '!O65</f>
        <v>660.75100000000009</v>
      </c>
      <c r="K8" s="68">
        <f>+'[14]07YTD '!P65</f>
        <v>79.480999999999995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+'[14]07YTD '!U65</f>
        <v>1979.56</v>
      </c>
      <c r="P8" s="68">
        <f>+'[14]07YTD '!V65</f>
        <v>-25.954000000000001</v>
      </c>
      <c r="Q8" s="68">
        <f>+'[14]07YTD '!W65</f>
        <v>-231.88400000000004</v>
      </c>
      <c r="S8" s="68">
        <f>+'[15]JULY_YTD  '!$H$8</f>
        <v>-93.48800000000017</v>
      </c>
    </row>
    <row r="9" spans="1:19" ht="12.75" customHeight="1" outlineLevel="4" x14ac:dyDescent="0.2">
      <c r="A9" s="62" t="s">
        <v>29</v>
      </c>
      <c r="B9" s="69">
        <f>D9+S9</f>
        <v>16878.752000000004</v>
      </c>
      <c r="C9" s="63"/>
      <c r="D9" s="70">
        <f>SUM(E9:M9)+O9+P9+Q9</f>
        <v>16889.264000000003</v>
      </c>
      <c r="E9" s="70">
        <f>-'[14]07YTD '!J72</f>
        <v>-8416.2420000000002</v>
      </c>
      <c r="F9" s="70">
        <f>-'[14]07YTD '!K72</f>
        <v>207.14600000000021</v>
      </c>
      <c r="G9" s="70">
        <f>-'[14]07YTD '!L72</f>
        <v>0</v>
      </c>
      <c r="H9" s="70">
        <f>-'[14]07YTD '!M72</f>
        <v>2048.5969999999998</v>
      </c>
      <c r="I9" s="70">
        <f>-'[14]07YTD '!N72</f>
        <v>0</v>
      </c>
      <c r="J9" s="70">
        <f>-'[14]07YTD '!O72</f>
        <v>189.81699999999998</v>
      </c>
      <c r="K9" s="70">
        <f>-'[14]07YTD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-'[14]07YTD '!U72</f>
        <v>22859.946000000004</v>
      </c>
      <c r="P9" s="70">
        <f>-'[14]07YTD '!V72</f>
        <v>0</v>
      </c>
      <c r="Q9" s="70">
        <f>-'[14]07YTD '!W72</f>
        <v>0</v>
      </c>
      <c r="S9" s="70">
        <f>-'[16]07YTD '!$N$73</f>
        <v>-10.511999999999999</v>
      </c>
    </row>
    <row r="10" spans="1:19" ht="12.75" customHeight="1" outlineLevel="4" x14ac:dyDescent="0.2">
      <c r="A10" s="67" t="s">
        <v>49</v>
      </c>
      <c r="B10" s="71">
        <f>B8+B9</f>
        <v>175382.84899999996</v>
      </c>
      <c r="C10" s="63"/>
      <c r="D10" s="71">
        <f t="shared" ref="D10:Q10" si="0">D8+D9</f>
        <v>175486.84899999996</v>
      </c>
      <c r="E10" s="71">
        <f t="shared" si="0"/>
        <v>91865.110999999975</v>
      </c>
      <c r="F10" s="71">
        <f t="shared" si="0"/>
        <v>35623.940999999999</v>
      </c>
      <c r="G10" s="71">
        <f t="shared" si="0"/>
        <v>18411.357</v>
      </c>
      <c r="H10" s="71">
        <f t="shared" si="0"/>
        <v>4073.1049999999996</v>
      </c>
      <c r="I10" s="71">
        <f t="shared" si="0"/>
        <v>1.6180000000000001</v>
      </c>
      <c r="J10" s="71">
        <f t="shared" si="0"/>
        <v>850.5680000000001</v>
      </c>
      <c r="K10" s="71">
        <f t="shared" si="0"/>
        <v>79.480999999999995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24839.506000000005</v>
      </c>
      <c r="P10" s="71">
        <f t="shared" si="0"/>
        <v>-25.954000000000001</v>
      </c>
      <c r="Q10" s="71">
        <f t="shared" si="0"/>
        <v>-231.88400000000004</v>
      </c>
      <c r="S10" s="71">
        <f>S8+S9</f>
        <v>-104.00000000000017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38056.493999999999</v>
      </c>
      <c r="C12" s="63"/>
      <c r="D12" s="68">
        <f t="shared" ref="D12:D18" si="2">SUM(E12:M12)+O12+P12+Q12</f>
        <v>38056.493999999999</v>
      </c>
      <c r="E12" s="68">
        <f>+'[14]07YTD '!J36</f>
        <v>26787.807000000001</v>
      </c>
      <c r="F12" s="68">
        <f>+'[14]07YTD '!K36</f>
        <v>11268.687</v>
      </c>
      <c r="G12" s="68">
        <f>+'[14]07YTD '!L36</f>
        <v>0</v>
      </c>
      <c r="H12" s="68">
        <f>+'[14]07YTD '!M36</f>
        <v>0</v>
      </c>
      <c r="I12" s="68">
        <f>+'[14]07YTD '!N36</f>
        <v>0</v>
      </c>
      <c r="J12" s="68">
        <f>+'[14]07YTD '!O36</f>
        <v>0</v>
      </c>
      <c r="K12" s="68">
        <f>+'[14]07YTD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+'[14]07YTD '!U36</f>
        <v>0</v>
      </c>
      <c r="P12" s="68">
        <f>+'[14]07YTD '!V36</f>
        <v>0</v>
      </c>
      <c r="Q12" s="68">
        <f>+'[14]07YTD '!W36</f>
        <v>0</v>
      </c>
      <c r="S12" s="68">
        <f>+'[15]JULY_YTD  '!$H$11</f>
        <v>0</v>
      </c>
    </row>
    <row r="13" spans="1:19" ht="12.75" customHeight="1" outlineLevel="4" x14ac:dyDescent="0.2">
      <c r="A13" s="62" t="s">
        <v>6</v>
      </c>
      <c r="B13" s="63">
        <f t="shared" si="1"/>
        <v>23221.707999999999</v>
      </c>
      <c r="C13" s="63"/>
      <c r="D13" s="68">
        <f t="shared" si="2"/>
        <v>23917.482</v>
      </c>
      <c r="E13" s="68">
        <f>+'[14]07YTD '!J62</f>
        <v>23660.897000000001</v>
      </c>
      <c r="F13" s="68">
        <f>+'[14]07YTD '!K62</f>
        <v>-445.05999999999995</v>
      </c>
      <c r="G13" s="68">
        <f>+'[14]07YTD '!L62</f>
        <v>0</v>
      </c>
      <c r="H13" s="68">
        <f>+'[14]07YTD '!M62</f>
        <v>432.98399999999998</v>
      </c>
      <c r="I13" s="68">
        <f>+'[14]07YTD '!N62</f>
        <v>0</v>
      </c>
      <c r="J13" s="68">
        <f>+'[14]07YTD '!O62</f>
        <v>0</v>
      </c>
      <c r="K13" s="68">
        <f>+'[14]07YTD '!P62</f>
        <v>-4.25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+'[14]07YTD '!U62</f>
        <v>272.911</v>
      </c>
      <c r="P13" s="68">
        <f>+'[14]07YTD '!V62</f>
        <v>0</v>
      </c>
      <c r="Q13" s="68">
        <f>+'[14]07YTD '!W62</f>
        <v>0</v>
      </c>
      <c r="S13" s="68">
        <f>+'[15]JULY_YTD  '!$H$12</f>
        <v>-695.774</v>
      </c>
    </row>
    <row r="14" spans="1:19" ht="12.75" customHeight="1" outlineLevel="4" x14ac:dyDescent="0.2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-'[14]07YTD '!J46</f>
        <v>-8.11</v>
      </c>
      <c r="F14" s="68">
        <f>-'[14]07YTD '!K46</f>
        <v>2E-3</v>
      </c>
      <c r="G14" s="68">
        <f>-'[14]07YTD '!L46</f>
        <v>0</v>
      </c>
      <c r="H14" s="68">
        <f>-'[14]07YTD '!M46</f>
        <v>0</v>
      </c>
      <c r="I14" s="68">
        <f>-'[14]07YTD '!N46</f>
        <v>0</v>
      </c>
      <c r="J14" s="68">
        <f>-'[14]07YTD '!O46</f>
        <v>0</v>
      </c>
      <c r="K14" s="68">
        <f>-'[14]07YTD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-'[14]07YTD '!U46</f>
        <v>0</v>
      </c>
      <c r="P14" s="68">
        <f>-'[14]07YTD '!V46</f>
        <v>0</v>
      </c>
      <c r="Q14" s="68">
        <f>-'[14]07YTD '!W46</f>
        <v>0</v>
      </c>
      <c r="S14" s="68">
        <f>-'[15]JULY_YTD  '!$H$14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1"/>
        <v>-24739.81</v>
      </c>
      <c r="C16" s="63"/>
      <c r="D16" s="68">
        <f t="shared" si="2"/>
        <v>-24653.259000000002</v>
      </c>
      <c r="E16" s="68">
        <f>-'[14]07YTD '!J43</f>
        <v>-2203.165</v>
      </c>
      <c r="F16" s="68">
        <f>-'[14]07YTD '!K43</f>
        <v>0</v>
      </c>
      <c r="G16" s="68">
        <f>-'[14]07YTD '!L43</f>
        <v>-18411.357</v>
      </c>
      <c r="H16" s="68">
        <f>-'[14]07YTD '!M43</f>
        <v>-4038.7370000000001</v>
      </c>
      <c r="I16" s="68">
        <f>-'[14]07YTD '!N43</f>
        <v>0</v>
      </c>
      <c r="J16" s="68">
        <f>-'[14]07YTD '!O43</f>
        <v>0</v>
      </c>
      <c r="K16" s="68">
        <f>-'[14]07YTD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-'[14]07YTD '!U43</f>
        <v>0</v>
      </c>
      <c r="P16" s="68">
        <f>-'[14]07YTD '!V43</f>
        <v>0</v>
      </c>
      <c r="Q16" s="68">
        <f>-'[14]07YTD '!W43</f>
        <v>0</v>
      </c>
      <c r="S16" s="68">
        <f>'[15]JULY_YTD  '!$H$15</f>
        <v>-86.551000000000002</v>
      </c>
    </row>
    <row r="17" spans="1:19" ht="12.75" customHeight="1" outlineLevel="4" x14ac:dyDescent="0.2">
      <c r="A17" s="67" t="s">
        <v>39</v>
      </c>
      <c r="B17" s="63">
        <f t="shared" si="1"/>
        <v>6666</v>
      </c>
      <c r="C17" s="63"/>
      <c r="D17" s="68">
        <f t="shared" si="2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+'[15]JULY_YTD  '!$H$16</f>
        <v>3400</v>
      </c>
    </row>
    <row r="18" spans="1:19" ht="12.75" customHeight="1" outlineLevel="4" x14ac:dyDescent="0.2">
      <c r="A18" s="67" t="s">
        <v>32</v>
      </c>
      <c r="B18" s="69">
        <f t="shared" si="1"/>
        <v>-33022</v>
      </c>
      <c r="C18" s="63"/>
      <c r="D18" s="68">
        <f t="shared" si="2"/>
        <v>-33035</v>
      </c>
      <c r="E18" s="70">
        <f>-4328-15838-14700</f>
        <v>-34866</v>
      </c>
      <c r="F18" s="70">
        <f>2770+2239</f>
        <v>5009</v>
      </c>
      <c r="G18" s="70">
        <v>0</v>
      </c>
      <c r="H18" s="70"/>
      <c r="I18" s="70">
        <v>1</v>
      </c>
      <c r="J18" s="70">
        <v>50</v>
      </c>
      <c r="K18" s="70">
        <v>-2</v>
      </c>
      <c r="L18" s="70">
        <v>-7964</v>
      </c>
      <c r="M18" s="85"/>
      <c r="N18" s="68">
        <f>M18+L18</f>
        <v>-7964</v>
      </c>
      <c r="O18" s="70">
        <v>4948</v>
      </c>
      <c r="P18" s="70">
        <v>0</v>
      </c>
      <c r="Q18" s="70">
        <v>-211</v>
      </c>
      <c r="S18" s="68">
        <f>+'[15]JULY_YTD  '!$H$17</f>
        <v>13</v>
      </c>
    </row>
    <row r="19" spans="1:19" ht="12.75" customHeight="1" outlineLevel="4" x14ac:dyDescent="0.2">
      <c r="A19" s="62" t="s">
        <v>31</v>
      </c>
      <c r="B19" s="73">
        <f>SUM(B10:B18)</f>
        <v>185557.13299999997</v>
      </c>
      <c r="C19" s="63"/>
      <c r="D19" s="73">
        <f t="shared" ref="D19:Q19" si="3">SUM(D10:D18)</f>
        <v>183030.45799999996</v>
      </c>
      <c r="E19" s="73">
        <f t="shared" si="3"/>
        <v>106870.53999999998</v>
      </c>
      <c r="F19" s="73">
        <f t="shared" si="3"/>
        <v>51456.57</v>
      </c>
      <c r="G19" s="73">
        <f t="shared" si="3"/>
        <v>0</v>
      </c>
      <c r="H19" s="73">
        <f t="shared" si="3"/>
        <v>2099.3519999999999</v>
      </c>
      <c r="I19" s="73">
        <f t="shared" si="3"/>
        <v>2.6180000000000003</v>
      </c>
      <c r="J19" s="73">
        <f t="shared" si="3"/>
        <v>900.5680000000001</v>
      </c>
      <c r="K19" s="73">
        <f t="shared" si="3"/>
        <v>73.230999999999995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30060.417000000005</v>
      </c>
      <c r="P19" s="73">
        <f t="shared" si="3"/>
        <v>-25.954000000000001</v>
      </c>
      <c r="Q19" s="73">
        <f t="shared" si="3"/>
        <v>-442.88400000000001</v>
      </c>
      <c r="S19" s="73">
        <f>SUM(S10:S18)</f>
        <v>2526.6749999999997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26422</v>
      </c>
      <c r="C22" s="63"/>
      <c r="D22" s="68">
        <f t="shared" ref="D22:D30" si="5">SUM(E22:M22)+O22+P22+Q22</f>
        <v>23675</v>
      </c>
      <c r="E22" s="68">
        <v>27018</v>
      </c>
      <c r="F22" s="68">
        <v>441</v>
      </c>
      <c r="G22" s="68"/>
      <c r="H22" s="68">
        <v>-119</v>
      </c>
      <c r="I22" s="68">
        <v>13</v>
      </c>
      <c r="J22" s="68">
        <v>-2066</v>
      </c>
      <c r="K22" s="68">
        <v>276</v>
      </c>
      <c r="L22" s="68">
        <v>26</v>
      </c>
      <c r="M22" s="68"/>
      <c r="N22" s="68">
        <f t="shared" ref="N22:N30" si="6">M22+L22</f>
        <v>26</v>
      </c>
      <c r="O22" s="68">
        <v>-49</v>
      </c>
      <c r="P22" s="68">
        <v>-1973</v>
      </c>
      <c r="Q22" s="68">
        <v>108</v>
      </c>
      <c r="S22" s="68">
        <f>+'[15]JULY_YTD  '!$H$20</f>
        <v>2747</v>
      </c>
    </row>
    <row r="23" spans="1:19" ht="12.75" customHeight="1" outlineLevel="4" x14ac:dyDescent="0.2">
      <c r="A23" s="67" t="s">
        <v>20</v>
      </c>
      <c r="B23" s="63">
        <f t="shared" si="4"/>
        <v>-14837</v>
      </c>
      <c r="C23" s="63"/>
      <c r="D23" s="68">
        <f t="shared" si="5"/>
        <v>-14837</v>
      </c>
      <c r="E23" s="68">
        <f>-1582-62471</f>
        <v>-64053</v>
      </c>
      <c r="F23" s="68">
        <f>-2779-15672</f>
        <v>-18451</v>
      </c>
      <c r="G23" s="68"/>
      <c r="H23" s="68">
        <v>-2133</v>
      </c>
      <c r="I23" s="68">
        <v>-16</v>
      </c>
      <c r="J23" s="68">
        <v>3190</v>
      </c>
      <c r="K23" s="68">
        <v>-808</v>
      </c>
      <c r="L23" s="68">
        <v>-22902</v>
      </c>
      <c r="M23" s="68"/>
      <c r="N23" s="68">
        <f t="shared" si="6"/>
        <v>-22902</v>
      </c>
      <c r="O23" s="68">
        <f>-76033+82422</f>
        <v>6389</v>
      </c>
      <c r="P23" s="68">
        <v>83597</v>
      </c>
      <c r="Q23" s="68">
        <v>350</v>
      </c>
      <c r="S23" s="68">
        <f>+'[15]JULY_YTD  '!$H$21</f>
        <v>0</v>
      </c>
    </row>
    <row r="24" spans="1:19" ht="12.75" customHeight="1" outlineLevel="4" x14ac:dyDescent="0.2">
      <c r="A24" s="67" t="s">
        <v>9</v>
      </c>
      <c r="B24" s="63">
        <f t="shared" si="4"/>
        <v>375</v>
      </c>
      <c r="C24" s="63"/>
      <c r="D24" s="68">
        <f t="shared" si="5"/>
        <v>375</v>
      </c>
      <c r="E24" s="68">
        <v>72</v>
      </c>
      <c r="F24" s="68">
        <v>130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+'[15]JULY_YTD  '!$H$22</f>
        <v>0</v>
      </c>
    </row>
    <row r="25" spans="1:19" ht="12.75" customHeight="1" outlineLevel="4" x14ac:dyDescent="0.2">
      <c r="A25" s="67" t="s">
        <v>10</v>
      </c>
      <c r="B25" s="63">
        <f t="shared" si="4"/>
        <v>6</v>
      </c>
      <c r="C25" s="63"/>
      <c r="D25" s="68">
        <f t="shared" si="5"/>
        <v>6</v>
      </c>
      <c r="E25" s="68">
        <v>0</v>
      </c>
      <c r="F25" s="68">
        <v>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+'[15]JULY_YTD  '!$H$23</f>
        <v>0</v>
      </c>
    </row>
    <row r="26" spans="1:19" ht="12.75" customHeight="1" outlineLevel="4" x14ac:dyDescent="0.2">
      <c r="A26" s="67" t="s">
        <v>11</v>
      </c>
      <c r="B26" s="63">
        <f t="shared" si="4"/>
        <v>6735</v>
      </c>
      <c r="C26" s="63"/>
      <c r="D26" s="68">
        <f t="shared" si="5"/>
        <v>6706</v>
      </c>
      <c r="E26" s="68">
        <v>4531</v>
      </c>
      <c r="F26" s="68">
        <v>-2666</v>
      </c>
      <c r="G26" s="68"/>
      <c r="H26" s="68">
        <v>360</v>
      </c>
      <c r="I26" s="68"/>
      <c r="J26" s="68">
        <v>-894</v>
      </c>
      <c r="K26" s="68">
        <v>10</v>
      </c>
      <c r="L26" s="68">
        <v>-110</v>
      </c>
      <c r="M26" s="68"/>
      <c r="N26" s="68">
        <f t="shared" si="6"/>
        <v>-110</v>
      </c>
      <c r="O26" s="68">
        <v>-38</v>
      </c>
      <c r="P26" s="68">
        <v>5631</v>
      </c>
      <c r="Q26" s="68">
        <v>-118</v>
      </c>
      <c r="S26" s="68">
        <f>+'[15]JULY_YTD  '!$H$24</f>
        <v>29</v>
      </c>
    </row>
    <row r="27" spans="1:19" ht="12.75" customHeight="1" outlineLevel="4" x14ac:dyDescent="0.2">
      <c r="A27" s="62" t="s">
        <v>12</v>
      </c>
      <c r="B27" s="63">
        <f t="shared" si="4"/>
        <v>5083</v>
      </c>
      <c r="C27" s="63"/>
      <c r="D27" s="68">
        <f t="shared" si="5"/>
        <v>5083</v>
      </c>
      <c r="E27" s="68">
        <v>5618</v>
      </c>
      <c r="F27" s="68">
        <v>-535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+'[15]JULY_YTD  '!$H$25</f>
        <v>0</v>
      </c>
    </row>
    <row r="28" spans="1:19" ht="12.75" customHeight="1" outlineLevel="4" x14ac:dyDescent="0.2">
      <c r="A28" s="67" t="s">
        <v>13</v>
      </c>
      <c r="B28" s="63">
        <f t="shared" si="4"/>
        <v>-2165</v>
      </c>
      <c r="C28" s="63"/>
      <c r="D28" s="68">
        <f t="shared" si="5"/>
        <v>-2166</v>
      </c>
      <c r="E28" s="68">
        <v>-354</v>
      </c>
      <c r="F28" s="68">
        <v>297</v>
      </c>
      <c r="G28" s="68"/>
      <c r="H28" s="68">
        <v>0</v>
      </c>
      <c r="I28" s="68"/>
      <c r="J28" s="68">
        <v>2</v>
      </c>
      <c r="K28" s="68">
        <v>-1</v>
      </c>
      <c r="L28" s="68">
        <v>-1572</v>
      </c>
      <c r="M28" s="68">
        <v>0</v>
      </c>
      <c r="N28" s="68">
        <f t="shared" si="6"/>
        <v>-1572</v>
      </c>
      <c r="O28" s="68">
        <v>-538</v>
      </c>
      <c r="P28" s="68"/>
      <c r="Q28" s="68"/>
      <c r="S28" s="68">
        <f>+'[15]JULY_YTD  '!$H$26</f>
        <v>1</v>
      </c>
    </row>
    <row r="29" spans="1:19" ht="12.75" customHeight="1" outlineLevel="4" x14ac:dyDescent="0.2">
      <c r="A29" s="67" t="s">
        <v>14</v>
      </c>
      <c r="B29" s="63">
        <f t="shared" si="4"/>
        <v>2914</v>
      </c>
      <c r="C29" s="63"/>
      <c r="D29" s="68">
        <f t="shared" si="5"/>
        <v>2914</v>
      </c>
      <c r="E29" s="72">
        <v>2875</v>
      </c>
      <c r="F29" s="72">
        <v>39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+'[15]JULY_YTD  '!$H$27</f>
        <v>0</v>
      </c>
    </row>
    <row r="30" spans="1:19" ht="12.75" customHeight="1" outlineLevel="4" x14ac:dyDescent="0.2">
      <c r="A30" s="67" t="s">
        <v>30</v>
      </c>
      <c r="B30" s="69">
        <f t="shared" si="4"/>
        <v>-7082</v>
      </c>
      <c r="C30" s="63"/>
      <c r="D30" s="68">
        <f t="shared" si="5"/>
        <v>-7082</v>
      </c>
      <c r="E30" s="70">
        <v>-7436</v>
      </c>
      <c r="F30" s="70">
        <v>336</v>
      </c>
      <c r="G30" s="70"/>
      <c r="H30" s="70">
        <v>-1060</v>
      </c>
      <c r="I30" s="70"/>
      <c r="J30" s="70">
        <v>-122</v>
      </c>
      <c r="K30" s="70">
        <v>2</v>
      </c>
      <c r="L30" s="70">
        <v>3</v>
      </c>
      <c r="M30" s="70"/>
      <c r="N30" s="70">
        <f t="shared" si="6"/>
        <v>3</v>
      </c>
      <c r="O30" s="70">
        <v>1199</v>
      </c>
      <c r="P30" s="70"/>
      <c r="Q30" s="70">
        <v>-4</v>
      </c>
      <c r="S30" s="68">
        <f>+'[15]JULY_YTD  '!$H$28</f>
        <v>0</v>
      </c>
    </row>
    <row r="31" spans="1:19" ht="12.75" customHeight="1" outlineLevel="4" x14ac:dyDescent="0.2">
      <c r="A31" s="67" t="s">
        <v>33</v>
      </c>
      <c r="B31" s="84">
        <f>SUM(B21:B30)</f>
        <v>17451</v>
      </c>
      <c r="C31" s="74"/>
      <c r="D31" s="84">
        <f t="shared" ref="D31:Q31" si="7">SUM(D21:D30)</f>
        <v>14674</v>
      </c>
      <c r="E31" s="84">
        <f t="shared" si="7"/>
        <v>-31729</v>
      </c>
      <c r="F31" s="84">
        <f t="shared" si="7"/>
        <v>-20403</v>
      </c>
      <c r="G31" s="84">
        <f t="shared" si="7"/>
        <v>0</v>
      </c>
      <c r="H31" s="84">
        <f t="shared" si="7"/>
        <v>-2952</v>
      </c>
      <c r="I31" s="84">
        <f t="shared" si="7"/>
        <v>-3</v>
      </c>
      <c r="J31" s="84">
        <f t="shared" si="7"/>
        <v>110</v>
      </c>
      <c r="K31" s="84">
        <f t="shared" si="7"/>
        <v>-521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6963</v>
      </c>
      <c r="P31" s="84">
        <f t="shared" si="7"/>
        <v>87255</v>
      </c>
      <c r="Q31" s="84">
        <f t="shared" si="7"/>
        <v>336</v>
      </c>
      <c r="S31" s="84">
        <f>SUM(S21:S30)</f>
        <v>2777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203008.13299999997</v>
      </c>
      <c r="C33" s="63"/>
      <c r="D33" s="75">
        <f t="shared" ref="D33:Q33" si="8">D19+D31</f>
        <v>197704.45799999996</v>
      </c>
      <c r="E33" s="75">
        <f t="shared" si="8"/>
        <v>75141.539999999979</v>
      </c>
      <c r="F33" s="75">
        <f t="shared" si="8"/>
        <v>31053.57</v>
      </c>
      <c r="G33" s="75">
        <f t="shared" si="8"/>
        <v>0</v>
      </c>
      <c r="H33" s="75">
        <f t="shared" si="8"/>
        <v>-852.64800000000014</v>
      </c>
      <c r="I33" s="75">
        <f t="shared" si="8"/>
        <v>-0.38199999999999967</v>
      </c>
      <c r="J33" s="75">
        <f t="shared" si="8"/>
        <v>1010.5680000000001</v>
      </c>
      <c r="K33" s="75">
        <f t="shared" si="8"/>
        <v>-447.76900000000001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37023.417000000001</v>
      </c>
      <c r="P33" s="75">
        <f t="shared" si="8"/>
        <v>87229.046000000002</v>
      </c>
      <c r="Q33" s="75">
        <f t="shared" si="8"/>
        <v>-106.88400000000001</v>
      </c>
      <c r="S33" s="75">
        <f>S19+S31</f>
        <v>5303.6749999999993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5479</v>
      </c>
      <c r="C36" s="63"/>
      <c r="D36" s="68">
        <f>SUM(E36:M36)+O36+P36+Q36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-37498</v>
      </c>
      <c r="C37" s="63"/>
      <c r="D37" s="68">
        <f>SUM(E37:M37)+O37+P37+Q37</f>
        <v>-37498</v>
      </c>
      <c r="E37" s="76">
        <v>-22225</v>
      </c>
      <c r="F37" s="76">
        <v>-15273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7618</v>
      </c>
      <c r="C38" s="63"/>
      <c r="D38" s="68">
        <f>SUM(E38:M38)+O38+P38+Q38</f>
        <v>7618</v>
      </c>
      <c r="E38" s="76">
        <f>8812-937</f>
        <v>7875</v>
      </c>
      <c r="F38" s="76">
        <f>7-264</f>
        <v>-257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+'[15]JULY_YTD 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-14</v>
      </c>
      <c r="C41" s="63"/>
      <c r="D41" s="70">
        <f>SUM(E41:M41)+O41+P41+Q41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 t="shared" ref="B42:M42" si="10">SUM(B36:B41)</f>
        <v>-31185</v>
      </c>
      <c r="C42" s="77">
        <f t="shared" si="10"/>
        <v>0</v>
      </c>
      <c r="D42" s="75">
        <f t="shared" si="10"/>
        <v>-24415</v>
      </c>
      <c r="E42" s="75">
        <f t="shared" si="10"/>
        <v>-8885</v>
      </c>
      <c r="F42" s="75">
        <f t="shared" si="10"/>
        <v>-15530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+'[15]JULY_YTD  '!$H$46</f>
        <v>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29533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201356.13299999997</v>
      </c>
      <c r="C52" s="63"/>
      <c r="D52" s="77">
        <f t="shared" ref="D52:M52" si="12">D33+D42+D50</f>
        <v>200289.45799999996</v>
      </c>
      <c r="E52" s="77">
        <f t="shared" si="12"/>
        <v>66256.539999999979</v>
      </c>
      <c r="F52" s="77">
        <f t="shared" si="12"/>
        <v>42523.57</v>
      </c>
      <c r="G52" s="77">
        <f t="shared" si="12"/>
        <v>0</v>
      </c>
      <c r="H52" s="77">
        <f t="shared" si="12"/>
        <v>-852.64800000000014</v>
      </c>
      <c r="I52" s="77">
        <f t="shared" si="12"/>
        <v>-0.38199999999999967</v>
      </c>
      <c r="J52" s="77">
        <f t="shared" si="12"/>
        <v>1010.5680000000001</v>
      </c>
      <c r="K52" s="77">
        <f t="shared" si="12"/>
        <v>-447.76900000000001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37023.417000000001</v>
      </c>
      <c r="P52" s="77">
        <f>P33+P42+P50</f>
        <v>87229.046000000002</v>
      </c>
      <c r="Q52" s="77">
        <f>Q33+Q42+Q50</f>
        <v>-106.88400000000001</v>
      </c>
      <c r="S52" s="77">
        <f>S33+S42+S50</f>
        <v>1066.6749999999993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3703</v>
      </c>
      <c r="C54" s="63"/>
      <c r="D54" s="70">
        <f>SUM(E54:M54)+O54+P54+Q54</f>
        <v>89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84</v>
      </c>
      <c r="Q54" s="80">
        <v>5</v>
      </c>
      <c r="S54" s="80">
        <f>+'[15]JULY_YTD  '!$H$50</f>
        <v>3614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197653.13299999997</v>
      </c>
      <c r="C56" s="63"/>
      <c r="D56" s="81">
        <f t="shared" ref="D56:Q56" si="13">D52-D54</f>
        <v>200200.45799999996</v>
      </c>
      <c r="E56" s="81">
        <f t="shared" si="13"/>
        <v>66256.539999999979</v>
      </c>
      <c r="F56" s="81">
        <f t="shared" si="13"/>
        <v>42523.57</v>
      </c>
      <c r="G56" s="81">
        <f t="shared" si="13"/>
        <v>0</v>
      </c>
      <c r="H56" s="81">
        <f t="shared" si="13"/>
        <v>-852.64800000000014</v>
      </c>
      <c r="I56" s="81">
        <f t="shared" si="13"/>
        <v>-0.38199999999999967</v>
      </c>
      <c r="J56" s="81">
        <f t="shared" si="13"/>
        <v>1010.5680000000001</v>
      </c>
      <c r="K56" s="81">
        <f t="shared" si="13"/>
        <v>-447.76900000000001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37023.417000000001</v>
      </c>
      <c r="P56" s="81">
        <f>P52-P54</f>
        <v>87145.046000000002</v>
      </c>
      <c r="Q56" s="81">
        <f t="shared" si="13"/>
        <v>-111.88400000000001</v>
      </c>
      <c r="S56" s="81">
        <f>S52-S54</f>
        <v>-2547.3250000000007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-27046</v>
      </c>
      <c r="C58" s="46"/>
      <c r="D58" s="70">
        <f>SUM(E58:Q58)</f>
        <v>-27046</v>
      </c>
      <c r="E58" s="80">
        <v>-45</v>
      </c>
      <c r="F58" s="80">
        <v>-27000</v>
      </c>
      <c r="G58" s="80">
        <v>0</v>
      </c>
      <c r="H58" s="80">
        <v>0</v>
      </c>
      <c r="I58" s="80">
        <v>145</v>
      </c>
      <c r="J58" s="80">
        <v>-995</v>
      </c>
      <c r="K58" s="80">
        <v>849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S58" s="80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170607.13299999997</v>
      </c>
      <c r="C60" s="46"/>
      <c r="D60" s="81">
        <f t="shared" ref="D60:M60" si="14">D56+D58</f>
        <v>173154.45799999996</v>
      </c>
      <c r="E60" s="81">
        <f t="shared" si="14"/>
        <v>66211.539999999979</v>
      </c>
      <c r="F60" s="81">
        <f t="shared" si="14"/>
        <v>15523.57</v>
      </c>
      <c r="G60" s="81">
        <f t="shared" si="14"/>
        <v>0</v>
      </c>
      <c r="H60" s="81">
        <f t="shared" si="14"/>
        <v>-852.64800000000014</v>
      </c>
      <c r="I60" s="81">
        <f t="shared" si="14"/>
        <v>144.61799999999999</v>
      </c>
      <c r="J60" s="81">
        <f t="shared" si="14"/>
        <v>15.568000000000097</v>
      </c>
      <c r="K60" s="81">
        <f t="shared" si="14"/>
        <v>401.23099999999999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37023.417000000001</v>
      </c>
      <c r="P60" s="81">
        <f>P56+P58</f>
        <v>87145.046000000002</v>
      </c>
      <c r="Q60" s="81">
        <f>Q56-Q58</f>
        <v>-111.88400000000001</v>
      </c>
      <c r="S60" s="81">
        <f>S56+S58</f>
        <v>-2547.3250000000007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topLeftCell="A34" workbookViewId="0">
      <selection activeCell="E36" sqref="E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23979.080999999958</v>
      </c>
      <c r="C8" s="63"/>
      <c r="D8" s="68">
        <f>SUM(E8:M8)+O8+P8</f>
        <v>25599.617999999959</v>
      </c>
      <c r="E8" s="68">
        <f>JUNEYTD!E8-MayYTD!E8</f>
        <v>23700.910999999978</v>
      </c>
      <c r="F8" s="68">
        <f>JUNEYTD!F8-MayYTD!F8</f>
        <v>4480.0659999999807</v>
      </c>
      <c r="G8" s="68">
        <f>JUNEYTD!G8-MayYTD!G8</f>
        <v>1364.8150000000005</v>
      </c>
      <c r="H8" s="68">
        <f>JUNEYTD!H8-MayYTD!H8</f>
        <v>291.73700000000008</v>
      </c>
      <c r="I8" s="68">
        <f>JUNEYTD!I8-MayYTD!I8</f>
        <v>6.4259999999999984</v>
      </c>
      <c r="J8" s="68">
        <f>JUNEYTD!J8-MayYTD!J8</f>
        <v>94.749999999999773</v>
      </c>
      <c r="K8" s="68">
        <f>JUNEYTD!K8-MayYTD!K8</f>
        <v>-9.1999999999629267E-2</v>
      </c>
      <c r="L8" s="68">
        <f>JUNEYTD!L8-MayYTD!L8</f>
        <v>17.997000000000057</v>
      </c>
      <c r="M8" s="68">
        <f>JUNEYTD!M8-MayYTD!M8</f>
        <v>0</v>
      </c>
      <c r="N8" s="68">
        <f>M8+L8</f>
        <v>17.997000000000057</v>
      </c>
      <c r="O8" s="68">
        <f>JUNEYTD!O8-MayYTD!O8</f>
        <v>-4312.5709999999999</v>
      </c>
      <c r="P8" s="68">
        <f>JUNEYTD!Q8-MayYTD!P8</f>
        <v>-44.420999999999978</v>
      </c>
      <c r="R8" s="68">
        <f>JUNEYTD!S8-MayYTD!R8</f>
        <v>-1620.5369999999998</v>
      </c>
    </row>
    <row r="9" spans="1:18" ht="12.75" customHeight="1" outlineLevel="4" x14ac:dyDescent="0.2">
      <c r="A9" s="62" t="s">
        <v>29</v>
      </c>
      <c r="B9" s="69">
        <f>D9+R9</f>
        <v>1064.7330000000027</v>
      </c>
      <c r="C9" s="63"/>
      <c r="D9" s="70">
        <f>SUM(E9:M9)+O9+P9</f>
        <v>1064.7330000000027</v>
      </c>
      <c r="E9" s="70">
        <f>JUNEYTD!E9-MayYTD!E9</f>
        <v>-1246.9899999999989</v>
      </c>
      <c r="F9" s="70">
        <f>JUNEYTD!F9-MayYTD!F9</f>
        <v>-656.21900000000028</v>
      </c>
      <c r="G9" s="70">
        <f>JUNEYTD!G9-MayYTD!G9</f>
        <v>0</v>
      </c>
      <c r="H9" s="70">
        <f>JUNEYTD!H9-MayYTD!H9</f>
        <v>0</v>
      </c>
      <c r="I9" s="70">
        <f>JUNEYTD!I9-MayYTD!I9</f>
        <v>0</v>
      </c>
      <c r="J9" s="70">
        <f>JUNEYTD!J9-MayYTD!J9</f>
        <v>83.825999999999993</v>
      </c>
      <c r="K9" s="70">
        <f>JUNEYTD!K9-MayYTD!K9</f>
        <v>0</v>
      </c>
      <c r="L9" s="70">
        <f>JUNEYTD!L9-MayYTD!L9</f>
        <v>0</v>
      </c>
      <c r="M9" s="70">
        <f>JUNEYTD!M9-MayYTD!M9</f>
        <v>0</v>
      </c>
      <c r="N9" s="70">
        <f>M9+L9</f>
        <v>0</v>
      </c>
      <c r="O9" s="70">
        <f>JUNEYTD!O9-MayYTD!O9</f>
        <v>2884.1160000000018</v>
      </c>
      <c r="P9" s="70">
        <f>JUNEYTD!Q9-MayYTD!P9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25043.813999999962</v>
      </c>
      <c r="C10" s="63"/>
      <c r="D10" s="71">
        <f t="shared" ref="D10:M10" si="0">D8+D9</f>
        <v>26664.350999999962</v>
      </c>
      <c r="E10" s="71">
        <f t="shared" si="0"/>
        <v>22453.92099999998</v>
      </c>
      <c r="F10" s="71">
        <f t="shared" si="0"/>
        <v>3823.8469999999807</v>
      </c>
      <c r="G10" s="71">
        <f t="shared" si="0"/>
        <v>1364.8150000000005</v>
      </c>
      <c r="H10" s="71">
        <f t="shared" si="0"/>
        <v>291.73700000000008</v>
      </c>
      <c r="I10" s="71">
        <f t="shared" si="0"/>
        <v>6.4259999999999984</v>
      </c>
      <c r="J10" s="71">
        <f t="shared" si="0"/>
        <v>178.57599999999977</v>
      </c>
      <c r="K10" s="71">
        <f t="shared" si="0"/>
        <v>-9.1999999999629267E-2</v>
      </c>
      <c r="L10" s="71">
        <f t="shared" si="0"/>
        <v>17.997000000000057</v>
      </c>
      <c r="M10" s="71">
        <f t="shared" si="0"/>
        <v>0</v>
      </c>
      <c r="N10" s="71">
        <f>N8</f>
        <v>17.997000000000057</v>
      </c>
      <c r="O10" s="71">
        <f>O8+O9</f>
        <v>-1428.4549999999981</v>
      </c>
      <c r="P10" s="71">
        <f>P8+P9</f>
        <v>-44.420999999999978</v>
      </c>
      <c r="R10" s="71">
        <f>R8+R9</f>
        <v>-1620.5369999999998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5509.4029999999984</v>
      </c>
      <c r="C12" s="63"/>
      <c r="D12" s="68">
        <f t="shared" ref="D12:D18" si="1">SUM(E12:M12)+O12+P12</f>
        <v>5509.4029999999984</v>
      </c>
      <c r="E12" s="68">
        <f>JUNEYTD!E12-MayYTD!E12</f>
        <v>3852.9709999999977</v>
      </c>
      <c r="F12" s="68">
        <f>JUNEYTD!F12-MayYTD!F12</f>
        <v>1678.7430000000004</v>
      </c>
      <c r="G12" s="68">
        <f>JUNEYTD!G12-MayYTD!G12</f>
        <v>0</v>
      </c>
      <c r="H12" s="68">
        <f>JUNEYTD!H12-MayYTD!H12</f>
        <v>0</v>
      </c>
      <c r="I12" s="68">
        <f>JUNEYTD!I12-MayYTD!I12</f>
        <v>0</v>
      </c>
      <c r="J12" s="68">
        <f>JUNEYTD!J12-MayYTD!J12</f>
        <v>0</v>
      </c>
      <c r="K12" s="68">
        <f>JUNEYTD!K12-MayYTD!K12</f>
        <v>0</v>
      </c>
      <c r="L12" s="68">
        <f>JUNEYTD!L12-MayYTD!L12</f>
        <v>-22.311</v>
      </c>
      <c r="M12" s="68">
        <f>JUNEYTD!M12-MayYTD!M12</f>
        <v>0</v>
      </c>
      <c r="N12" s="68">
        <f t="shared" ref="N12:N18" si="2">M12+L12</f>
        <v>-22.311</v>
      </c>
      <c r="O12" s="68">
        <f>JUNEYTD!O12-MayYTD!O12</f>
        <v>0</v>
      </c>
      <c r="P12" s="68">
        <f>JUNEYTD!Q12-MayYTD!P12</f>
        <v>0</v>
      </c>
      <c r="R12" s="68">
        <f>JUNEYTD!S12-MayYTD!R12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13820.978000000001</v>
      </c>
      <c r="C13" s="63"/>
      <c r="D13" s="68">
        <f t="shared" si="1"/>
        <v>13815.915000000001</v>
      </c>
      <c r="E13" s="68">
        <f>JUNEYTD!E13-MayYTD!E13</f>
        <v>13754.898000000001</v>
      </c>
      <c r="F13" s="68">
        <f>JUNEYTD!F13-MayYTD!F13</f>
        <v>-1133.5629999999999</v>
      </c>
      <c r="G13" s="68">
        <f>JUNEYTD!G13-MayYTD!G13</f>
        <v>0</v>
      </c>
      <c r="H13" s="68">
        <f>JUNEYTD!H13-MayYTD!H13</f>
        <v>132.17599999999999</v>
      </c>
      <c r="I13" s="68">
        <f>JUNEYTD!I13-MayYTD!I13</f>
        <v>0</v>
      </c>
      <c r="J13" s="68">
        <f>JUNEYTD!J13-MayYTD!J13</f>
        <v>0</v>
      </c>
      <c r="K13" s="68">
        <f>JUNEYTD!K13-MayYTD!K13</f>
        <v>-0.60699999999999976</v>
      </c>
      <c r="L13" s="68">
        <f>JUNEYTD!L13-MayYTD!L13</f>
        <v>790.09999999999991</v>
      </c>
      <c r="M13" s="68">
        <f>JUNEYTD!M13-MayYTD!M13</f>
        <v>0</v>
      </c>
      <c r="N13" s="68">
        <f t="shared" si="2"/>
        <v>790.09999999999991</v>
      </c>
      <c r="O13" s="68">
        <f>JUNEYTD!O13-MayYTD!O13</f>
        <v>272.911</v>
      </c>
      <c r="P13" s="68">
        <f>JUNEYTD!Q13-MayYTD!P13</f>
        <v>0</v>
      </c>
      <c r="R13" s="68">
        <f>JUNEYTD!S13-MayYTD!R13</f>
        <v>5.0629999999999988</v>
      </c>
    </row>
    <row r="14" spans="1:18" ht="12.75" customHeight="1" outlineLevel="4" x14ac:dyDescent="0.2">
      <c r="A14" s="67" t="s">
        <v>22</v>
      </c>
      <c r="B14" s="63">
        <f t="shared" si="3"/>
        <v>-14.725000000000023</v>
      </c>
      <c r="C14" s="63"/>
      <c r="D14" s="68">
        <f t="shared" si="1"/>
        <v>-14.725000000000023</v>
      </c>
      <c r="E14" s="68">
        <f>JUNEYTD!E14-MayYTD!E14</f>
        <v>-14.725000000000023</v>
      </c>
      <c r="F14" s="68">
        <f>JUNEYTD!F14-MayYTD!F14</f>
        <v>0</v>
      </c>
      <c r="G14" s="68">
        <f>JUNEYTD!G14-MayYTD!G14</f>
        <v>0</v>
      </c>
      <c r="H14" s="68">
        <f>JUNEYTD!H14-MayYTD!H14</f>
        <v>0</v>
      </c>
      <c r="I14" s="68">
        <f>JUNEYTD!I14-MayYTD!I14</f>
        <v>0</v>
      </c>
      <c r="J14" s="68">
        <f>JUNEYTD!J14-MayYTD!J14</f>
        <v>0</v>
      </c>
      <c r="K14" s="68">
        <f>JUNEYTD!K14-MayYTD!K14</f>
        <v>0</v>
      </c>
      <c r="L14" s="68">
        <f>JUNEYTD!L14-MayYTD!L14</f>
        <v>0</v>
      </c>
      <c r="M14" s="68">
        <f>JUNEYTD!M14-MayYTD!M14</f>
        <v>0</v>
      </c>
      <c r="N14" s="68">
        <f t="shared" si="2"/>
        <v>0</v>
      </c>
      <c r="O14" s="68">
        <f>JUNEYTD!O14-MayYTD!O14</f>
        <v>0</v>
      </c>
      <c r="P14" s="68">
        <f>JUNEYTD!Q14-MayYTD!P14</f>
        <v>0</v>
      </c>
      <c r="R14" s="68">
        <f>JUNEYTD!S14-MayYTD!R14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JUNEYTD!E15-MayYTD!E15</f>
        <v>0</v>
      </c>
      <c r="F15" s="68">
        <f>JUNEYTD!F15-MayYTD!F15</f>
        <v>0</v>
      </c>
      <c r="G15" s="68">
        <f>JUNEYTD!G15-MayYTD!G15</f>
        <v>0</v>
      </c>
      <c r="H15" s="68">
        <f>JUNEYTD!H15-MayYTD!H15</f>
        <v>0</v>
      </c>
      <c r="I15" s="68">
        <f>JUNEYTD!I15-MayYTD!I15</f>
        <v>0</v>
      </c>
      <c r="J15" s="68">
        <f>JUNEYTD!J15-MayYTD!J15</f>
        <v>0</v>
      </c>
      <c r="K15" s="68">
        <f>JUNEYTD!K15-MayYTD!K15</f>
        <v>0</v>
      </c>
      <c r="L15" s="68">
        <f>JUNEYTD!L15-MayYTD!L15</f>
        <v>0</v>
      </c>
      <c r="M15" s="68">
        <f>JUNEYTD!M15-MayYTD!M15</f>
        <v>0</v>
      </c>
      <c r="N15" s="68">
        <f t="shared" si="2"/>
        <v>0</v>
      </c>
      <c r="O15" s="68">
        <f>JUNEYTD!O15-MayYTD!O15</f>
        <v>0</v>
      </c>
      <c r="P15" s="68">
        <f>JUNEYTD!Q15-MayYTD!P15</f>
        <v>0</v>
      </c>
      <c r="R15" s="68">
        <f>JUNEYTD!S15-MayYTD!R15</f>
        <v>0</v>
      </c>
    </row>
    <row r="16" spans="1:18" ht="12.75" customHeight="1" outlineLevel="4" x14ac:dyDescent="0.2">
      <c r="A16" s="67" t="s">
        <v>38</v>
      </c>
      <c r="B16" s="63">
        <f t="shared" si="3"/>
        <v>298.70899999999983</v>
      </c>
      <c r="C16" s="63"/>
      <c r="D16" s="68">
        <f t="shared" si="1"/>
        <v>-2247.1060000000007</v>
      </c>
      <c r="E16" s="68">
        <f>JUNEYTD!E16-MayYTD!E16</f>
        <v>-394.3599999999999</v>
      </c>
      <c r="F16" s="68">
        <f>JUNEYTD!F16-MayYTD!F16</f>
        <v>0</v>
      </c>
      <c r="G16" s="68">
        <f>JUNEYTD!G16-MayYTD!G16</f>
        <v>-1364.8150000000005</v>
      </c>
      <c r="H16" s="68">
        <f>JUNEYTD!H16-MayYTD!H16</f>
        <v>-487.93100000000004</v>
      </c>
      <c r="I16" s="68">
        <f>JUNEYTD!I16-MayYTD!I16</f>
        <v>0</v>
      </c>
      <c r="J16" s="68">
        <f>JUNEYTD!J16-MayYTD!J16</f>
        <v>0</v>
      </c>
      <c r="K16" s="68">
        <f>JUNEYTD!K16-MayYTD!K16</f>
        <v>0</v>
      </c>
      <c r="L16" s="68">
        <f>JUNEYTD!L16-MayYTD!L16</f>
        <v>0</v>
      </c>
      <c r="M16" s="68">
        <f>JUNEYTD!M16-MayYTD!M16</f>
        <v>0</v>
      </c>
      <c r="N16" s="68">
        <f t="shared" si="2"/>
        <v>0</v>
      </c>
      <c r="O16" s="68">
        <f>JUNEYTD!O16-MayYTD!O16</f>
        <v>0</v>
      </c>
      <c r="P16" s="68">
        <f>JUNEYTD!Q16-MayYTD!P16</f>
        <v>0</v>
      </c>
      <c r="R16" s="68">
        <f>JUNEYTD!S16-MayYTD!R16</f>
        <v>2545.8150000000005</v>
      </c>
    </row>
    <row r="17" spans="1:18" ht="12.75" customHeight="1" outlineLevel="4" x14ac:dyDescent="0.2">
      <c r="A17" s="67" t="s">
        <v>39</v>
      </c>
      <c r="B17" s="63">
        <f t="shared" si="3"/>
        <v>801</v>
      </c>
      <c r="C17" s="63"/>
      <c r="D17" s="68">
        <f t="shared" si="1"/>
        <v>801</v>
      </c>
      <c r="E17" s="68">
        <f>JUNEYTD!E17-MayYTD!E17</f>
        <v>801</v>
      </c>
      <c r="F17" s="68">
        <f>JUNEYTD!F17-MayYTD!F17</f>
        <v>0</v>
      </c>
      <c r="G17" s="68">
        <f>JUNEYTD!G17-MayYTD!G17</f>
        <v>0</v>
      </c>
      <c r="H17" s="68">
        <f>JUNEYTD!H17-MayYTD!H17</f>
        <v>0</v>
      </c>
      <c r="I17" s="68">
        <f>JUNEYTD!I17-MayYTD!I17</f>
        <v>0</v>
      </c>
      <c r="J17" s="68">
        <f>JUNEYTD!J17-MayYTD!J17</f>
        <v>0</v>
      </c>
      <c r="K17" s="68">
        <f>JUNEYTD!K17-MayYTD!K17</f>
        <v>0</v>
      </c>
      <c r="L17" s="68">
        <f>JUNEYTD!L17-MayYTD!L17</f>
        <v>0</v>
      </c>
      <c r="M17" s="68">
        <f>JUNEYTD!M17-MayYTD!M17</f>
        <v>0</v>
      </c>
      <c r="N17" s="68">
        <f t="shared" si="2"/>
        <v>0</v>
      </c>
      <c r="O17" s="68">
        <f>JUNEYTD!O17-MayYTD!O17</f>
        <v>0</v>
      </c>
      <c r="P17" s="68">
        <f>JUNEYTD!Q17-MayYTD!P17</f>
        <v>0</v>
      </c>
      <c r="R17" s="68">
        <f>JUNEYTD!S17-MayYTD!R17</f>
        <v>0</v>
      </c>
    </row>
    <row r="18" spans="1:18" ht="12.75" customHeight="1" outlineLevel="4" x14ac:dyDescent="0.2">
      <c r="A18" s="67" t="s">
        <v>32</v>
      </c>
      <c r="B18" s="69">
        <f t="shared" si="3"/>
        <v>17522</v>
      </c>
      <c r="C18" s="63"/>
      <c r="D18" s="68">
        <f t="shared" si="1"/>
        <v>17514</v>
      </c>
      <c r="E18" s="68">
        <f>JUNEYTD!E18-MayYTD!E18</f>
        <v>-9429</v>
      </c>
      <c r="F18" s="68">
        <f>JUNEYTD!F18-MayYTD!F18</f>
        <v>479</v>
      </c>
      <c r="G18" s="68">
        <f>JUNEYTD!G18-MayYTD!G18</f>
        <v>0</v>
      </c>
      <c r="H18" s="68">
        <f>JUNEYTD!H18-MayYTD!H18</f>
        <v>0</v>
      </c>
      <c r="I18" s="68">
        <f>JUNEYTD!I18-MayYTD!I18</f>
        <v>0</v>
      </c>
      <c r="J18" s="68">
        <f>JUNEYTD!J18-MayYTD!J18</f>
        <v>104</v>
      </c>
      <c r="K18" s="68">
        <f>JUNEYTD!K18-MayYTD!K18</f>
        <v>1</v>
      </c>
      <c r="L18" s="68">
        <f>JUNEYTD!L18-MayYTD!L18</f>
        <v>23247</v>
      </c>
      <c r="M18" s="68">
        <f>JUNEYTD!M18-MayYTD!M18</f>
        <v>0</v>
      </c>
      <c r="N18" s="68">
        <f t="shared" si="2"/>
        <v>23247</v>
      </c>
      <c r="O18" s="68">
        <f>JUNEYTD!O18-MayYTD!O18</f>
        <v>3280</v>
      </c>
      <c r="P18" s="68">
        <f>JUNEYTD!Q18-MayYTD!P18</f>
        <v>-168</v>
      </c>
      <c r="R18" s="68">
        <f>JUNEYTD!S18-MayYTD!R18</f>
        <v>8</v>
      </c>
    </row>
    <row r="19" spans="1:18" ht="12.75" customHeight="1" outlineLevel="4" x14ac:dyDescent="0.2">
      <c r="A19" s="62" t="s">
        <v>31</v>
      </c>
      <c r="B19" s="73">
        <f>SUM(B10:B18)</f>
        <v>62981.178999999967</v>
      </c>
      <c r="C19" s="63"/>
      <c r="D19" s="73">
        <f t="shared" ref="D19:P19" si="4">SUM(D10:D18)</f>
        <v>62042.837999999967</v>
      </c>
      <c r="E19" s="73">
        <f t="shared" si="4"/>
        <v>31024.70499999998</v>
      </c>
      <c r="F19" s="73">
        <f t="shared" si="4"/>
        <v>4848.0269999999809</v>
      </c>
      <c r="G19" s="73">
        <f t="shared" si="4"/>
        <v>0</v>
      </c>
      <c r="H19" s="73">
        <f t="shared" si="4"/>
        <v>-64.017999999999972</v>
      </c>
      <c r="I19" s="73">
        <f t="shared" si="4"/>
        <v>6.4259999999999984</v>
      </c>
      <c r="J19" s="73">
        <f t="shared" si="4"/>
        <v>282.57599999999979</v>
      </c>
      <c r="K19" s="73">
        <f t="shared" si="4"/>
        <v>0.30100000000037097</v>
      </c>
      <c r="L19" s="73">
        <f t="shared" si="4"/>
        <v>24032.786</v>
      </c>
      <c r="M19" s="73">
        <f t="shared" si="4"/>
        <v>0</v>
      </c>
      <c r="N19" s="73">
        <f t="shared" si="4"/>
        <v>24032.786</v>
      </c>
      <c r="O19" s="73">
        <f t="shared" si="4"/>
        <v>2124.4560000000019</v>
      </c>
      <c r="P19" s="73">
        <f t="shared" si="4"/>
        <v>-212.42099999999999</v>
      </c>
      <c r="R19" s="73">
        <f>SUM(R10:R18)</f>
        <v>938.3410000000008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-39952</v>
      </c>
      <c r="C22" s="63"/>
      <c r="D22" s="68">
        <f t="shared" ref="D22:D30" si="6">SUM(E22:M22)+O22+P22</f>
        <v>-39904</v>
      </c>
      <c r="E22" s="68">
        <f>JUNEYTD!E22-MayYTD!E22</f>
        <v>-54450</v>
      </c>
      <c r="F22" s="68">
        <f>JUNEYTD!F22-MayYTD!F22</f>
        <v>4</v>
      </c>
      <c r="G22" s="68">
        <f>JUNEYTD!G22-MayYTD!G22</f>
        <v>0</v>
      </c>
      <c r="H22" s="68">
        <f>JUNEYTD!H22-MayYTD!H22</f>
        <v>-40</v>
      </c>
      <c r="I22" s="68">
        <f>JUNEYTD!I22-MayYTD!I22</f>
        <v>1</v>
      </c>
      <c r="J22" s="68">
        <f>JUNEYTD!J22-MayYTD!J22</f>
        <v>-505</v>
      </c>
      <c r="K22" s="68">
        <f>JUNEYTD!K22-MayYTD!K22</f>
        <v>14</v>
      </c>
      <c r="L22" s="68">
        <f>JUNEYTD!L22-MayYTD!L22</f>
        <v>0</v>
      </c>
      <c r="M22" s="68">
        <f>JUNEYTD!M22-MayYTD!M22</f>
        <v>0</v>
      </c>
      <c r="N22" s="68">
        <f t="shared" ref="N22:N30" si="7">M22+L22</f>
        <v>0</v>
      </c>
      <c r="O22" s="68">
        <f>JUNEYTD!O22-MayYTD!O22</f>
        <v>15148</v>
      </c>
      <c r="P22" s="68">
        <f>JUNEYTD!Q22-MayYTD!P22</f>
        <v>-76</v>
      </c>
      <c r="R22" s="68">
        <f>JUNEYTD!S22-MayYTD!R22</f>
        <v>-48</v>
      </c>
    </row>
    <row r="23" spans="1:18" ht="12.75" customHeight="1" outlineLevel="4" x14ac:dyDescent="0.2">
      <c r="A23" s="67" t="s">
        <v>20</v>
      </c>
      <c r="B23" s="63">
        <f t="shared" si="5"/>
        <v>-3270</v>
      </c>
      <c r="C23" s="63"/>
      <c r="D23" s="68">
        <f t="shared" si="6"/>
        <v>-3270</v>
      </c>
      <c r="E23" s="68">
        <f>JUNEYTD!E23-MayYTD!E23</f>
        <v>-6310</v>
      </c>
      <c r="F23" s="68">
        <f>JUNEYTD!F23-MayYTD!F23</f>
        <v>-203</v>
      </c>
      <c r="G23" s="68">
        <f>JUNEYTD!G23-MayYTD!G23</f>
        <v>0</v>
      </c>
      <c r="H23" s="68">
        <f>JUNEYTD!H23-MayYTD!H23</f>
        <v>0</v>
      </c>
      <c r="I23" s="68">
        <f>JUNEYTD!I23-MayYTD!I23</f>
        <v>-11</v>
      </c>
      <c r="J23" s="68">
        <f>JUNEYTD!J23-MayYTD!J23</f>
        <v>3059</v>
      </c>
      <c r="K23" s="68">
        <f>JUNEYTD!K23-MayYTD!K23</f>
        <v>-69</v>
      </c>
      <c r="L23" s="68">
        <f>JUNEYTD!L23-MayYTD!L23</f>
        <v>-23254</v>
      </c>
      <c r="M23" s="68">
        <f>JUNEYTD!M23-MayYTD!M23</f>
        <v>0</v>
      </c>
      <c r="N23" s="68">
        <f t="shared" si="7"/>
        <v>-23254</v>
      </c>
      <c r="O23" s="68">
        <f>JUNEYTD!O23-MayYTD!O23</f>
        <v>23393</v>
      </c>
      <c r="P23" s="68">
        <f>JUNEYTD!Q23-MayYTD!P23</f>
        <v>125</v>
      </c>
      <c r="R23" s="68">
        <f>JUNEYTD!S23-MayYTD!R23</f>
        <v>0</v>
      </c>
    </row>
    <row r="24" spans="1:18" ht="12.75" customHeight="1" outlineLevel="4" x14ac:dyDescent="0.2">
      <c r="A24" s="67" t="s">
        <v>9</v>
      </c>
      <c r="B24" s="63">
        <f t="shared" si="5"/>
        <v>20</v>
      </c>
      <c r="C24" s="63"/>
      <c r="D24" s="68">
        <f t="shared" si="6"/>
        <v>20</v>
      </c>
      <c r="E24" s="68">
        <f>JUNEYTD!E24-MayYTD!E24</f>
        <v>17</v>
      </c>
      <c r="F24" s="68">
        <f>JUNEYTD!F24-MayYTD!F24</f>
        <v>3</v>
      </c>
      <c r="G24" s="68">
        <f>JUNEYTD!G24-MayYTD!G24</f>
        <v>0</v>
      </c>
      <c r="H24" s="68">
        <f>JUNEYTD!H24-MayYTD!H24</f>
        <v>0</v>
      </c>
      <c r="I24" s="68">
        <f>JUNEYTD!I24-MayYTD!I24</f>
        <v>0</v>
      </c>
      <c r="J24" s="68">
        <f>JUNEYTD!J24-MayYTD!J24</f>
        <v>0</v>
      </c>
      <c r="K24" s="68">
        <f>JUNEYTD!K24-MayYTD!K24</f>
        <v>0</v>
      </c>
      <c r="L24" s="68">
        <f>JUNEYTD!L24-MayYTD!L24</f>
        <v>0</v>
      </c>
      <c r="M24" s="68">
        <f>JUNEYTD!M24-MayYTD!M24</f>
        <v>0</v>
      </c>
      <c r="N24" s="68">
        <f t="shared" si="7"/>
        <v>0</v>
      </c>
      <c r="O24" s="68">
        <f>JUNEYTD!O24-MayYTD!O24</f>
        <v>0</v>
      </c>
      <c r="P24" s="68">
        <f>JUNEYTD!Q24-MayYTD!P24</f>
        <v>0</v>
      </c>
      <c r="R24" s="68">
        <f>JUNEYTD!S24-MayYTD!R24</f>
        <v>0</v>
      </c>
    </row>
    <row r="25" spans="1:18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JUNEYTD!E25-MayYTD!E25</f>
        <v>0</v>
      </c>
      <c r="F25" s="68">
        <f>JUNEYTD!F25-MayYTD!F25</f>
        <v>1</v>
      </c>
      <c r="G25" s="68">
        <f>JUNEYTD!G25-MayYTD!G25</f>
        <v>0</v>
      </c>
      <c r="H25" s="68">
        <f>JUNEYTD!H25-MayYTD!H25</f>
        <v>0</v>
      </c>
      <c r="I25" s="68">
        <f>JUNEYTD!I25-MayYTD!I25</f>
        <v>0</v>
      </c>
      <c r="J25" s="68">
        <f>JUNEYTD!J25-MayYTD!J25</f>
        <v>0</v>
      </c>
      <c r="K25" s="68">
        <f>JUNEYTD!K25-MayYTD!K25</f>
        <v>0</v>
      </c>
      <c r="L25" s="68">
        <f>JUNEYTD!L25-MayYTD!L25</f>
        <v>0</v>
      </c>
      <c r="M25" s="68">
        <f>JUNEYTD!M25-MayYTD!M25</f>
        <v>0</v>
      </c>
      <c r="N25" s="68">
        <f t="shared" si="7"/>
        <v>0</v>
      </c>
      <c r="O25" s="68">
        <f>JUNEYTD!O25-MayYTD!O25</f>
        <v>0</v>
      </c>
      <c r="P25" s="68">
        <f>JUNEYTD!Q25-MayYTD!P25</f>
        <v>0</v>
      </c>
      <c r="R25" s="68">
        <f>JUNEYTD!S25-MayYTD!R25</f>
        <v>0</v>
      </c>
    </row>
    <row r="26" spans="1:18" ht="12.75" customHeight="1" outlineLevel="4" x14ac:dyDescent="0.2">
      <c r="A26" s="67" t="s">
        <v>11</v>
      </c>
      <c r="B26" s="63">
        <f t="shared" si="5"/>
        <v>4868</v>
      </c>
      <c r="C26" s="63"/>
      <c r="D26" s="68">
        <f t="shared" si="6"/>
        <v>4861</v>
      </c>
      <c r="E26" s="68">
        <f>JUNEYTD!E26-MayYTD!E26</f>
        <v>6898</v>
      </c>
      <c r="F26" s="68">
        <f>JUNEYTD!F26-MayYTD!F26</f>
        <v>-1103</v>
      </c>
      <c r="G26" s="68">
        <f>JUNEYTD!G26-MayYTD!G26</f>
        <v>0</v>
      </c>
      <c r="H26" s="68">
        <f>JUNEYTD!H26-MayYTD!H26</f>
        <v>-511</v>
      </c>
      <c r="I26" s="68">
        <f>JUNEYTD!I26-MayYTD!I26</f>
        <v>0</v>
      </c>
      <c r="J26" s="68">
        <f>JUNEYTD!J26-MayYTD!J26</f>
        <v>-203</v>
      </c>
      <c r="K26" s="68">
        <f>JUNEYTD!K26-MayYTD!K26</f>
        <v>-3</v>
      </c>
      <c r="L26" s="68">
        <f>JUNEYTD!L26-MayYTD!L26</f>
        <v>0</v>
      </c>
      <c r="M26" s="68">
        <f>JUNEYTD!M26-MayYTD!M26</f>
        <v>0</v>
      </c>
      <c r="N26" s="68">
        <f t="shared" si="7"/>
        <v>0</v>
      </c>
      <c r="O26" s="68">
        <f>JUNEYTD!O26-MayYTD!O26</f>
        <v>-186</v>
      </c>
      <c r="P26" s="68">
        <f>JUNEYTD!Q26-MayYTD!P26</f>
        <v>-31</v>
      </c>
      <c r="R26" s="68">
        <f>JUNEYTD!S26-MayYTD!R26</f>
        <v>7</v>
      </c>
    </row>
    <row r="27" spans="1:18" ht="12.75" customHeight="1" outlineLevel="4" x14ac:dyDescent="0.2">
      <c r="A27" s="62" t="s">
        <v>12</v>
      </c>
      <c r="B27" s="63">
        <f t="shared" si="5"/>
        <v>-5885</v>
      </c>
      <c r="C27" s="63"/>
      <c r="D27" s="68">
        <f t="shared" si="6"/>
        <v>-5888</v>
      </c>
      <c r="E27" s="68">
        <f>JUNEYTD!E27-MayYTD!E27</f>
        <v>-5115</v>
      </c>
      <c r="F27" s="68">
        <f>JUNEYTD!F27-MayYTD!F27</f>
        <v>-774</v>
      </c>
      <c r="G27" s="68">
        <f>JUNEYTD!G27-MayYTD!G27</f>
        <v>0</v>
      </c>
      <c r="H27" s="68">
        <f>JUNEYTD!H27-MayYTD!H27</f>
        <v>1</v>
      </c>
      <c r="I27" s="68">
        <f>JUNEYTD!I27-MayYTD!I27</f>
        <v>0</v>
      </c>
      <c r="J27" s="68">
        <f>JUNEYTD!J27-MayYTD!J27</f>
        <v>0</v>
      </c>
      <c r="K27" s="68">
        <f>JUNEYTD!K27-MayYTD!K27</f>
        <v>0</v>
      </c>
      <c r="L27" s="68">
        <f>JUNEYTD!L27-MayYTD!L27</f>
        <v>0</v>
      </c>
      <c r="M27" s="68">
        <f>JUNEYTD!M27-MayYTD!M27</f>
        <v>0</v>
      </c>
      <c r="N27" s="68">
        <f t="shared" si="7"/>
        <v>0</v>
      </c>
      <c r="O27" s="68">
        <f>JUNEYTD!O27-MayYTD!O27</f>
        <v>0</v>
      </c>
      <c r="P27" s="68">
        <f>JUNEYTD!Q27-MayYTD!P27</f>
        <v>0</v>
      </c>
      <c r="R27" s="68">
        <f>JUNEYTD!S27-MayYTD!R27</f>
        <v>3</v>
      </c>
    </row>
    <row r="28" spans="1:18" ht="12.75" customHeight="1" outlineLevel="4" x14ac:dyDescent="0.2">
      <c r="A28" s="67" t="s">
        <v>13</v>
      </c>
      <c r="B28" s="63">
        <f t="shared" si="5"/>
        <v>-1723</v>
      </c>
      <c r="C28" s="63"/>
      <c r="D28" s="68">
        <f t="shared" si="6"/>
        <v>-1813</v>
      </c>
      <c r="E28" s="68">
        <f>JUNEYTD!E28-MayYTD!E28</f>
        <v>-2510</v>
      </c>
      <c r="F28" s="68">
        <f>JUNEYTD!F28-MayYTD!F28</f>
        <v>695</v>
      </c>
      <c r="G28" s="68">
        <f>JUNEYTD!G28-MayYTD!G28</f>
        <v>0</v>
      </c>
      <c r="H28" s="68">
        <f>JUNEYTD!H28-MayYTD!H28</f>
        <v>3</v>
      </c>
      <c r="I28" s="68">
        <f>JUNEYTD!I28-MayYTD!I28</f>
        <v>0</v>
      </c>
      <c r="J28" s="68">
        <f>JUNEYTD!J28-MayYTD!J28</f>
        <v>-1</v>
      </c>
      <c r="K28" s="68">
        <f>JUNEYTD!K28-MayYTD!K28</f>
        <v>-1</v>
      </c>
      <c r="L28" s="68">
        <f>JUNEYTD!L28-MayYTD!L28</f>
        <v>0</v>
      </c>
      <c r="M28" s="68">
        <f>JUNEYTD!M28-MayYTD!M28</f>
        <v>0</v>
      </c>
      <c r="N28" s="68">
        <f t="shared" si="7"/>
        <v>0</v>
      </c>
      <c r="O28" s="68">
        <f>JUNEYTD!O28-MayYTD!O28</f>
        <v>1</v>
      </c>
      <c r="P28" s="68">
        <f>JUNEYTD!Q28-MayYTD!P28</f>
        <v>0</v>
      </c>
      <c r="R28" s="68">
        <f>+JUNEYTD!S28-MayYTD!R28</f>
        <v>90</v>
      </c>
    </row>
    <row r="29" spans="1:18" ht="12.75" customHeight="1" outlineLevel="4" x14ac:dyDescent="0.2">
      <c r="A29" s="67" t="s">
        <v>14</v>
      </c>
      <c r="B29" s="63">
        <f t="shared" si="5"/>
        <v>-4802</v>
      </c>
      <c r="C29" s="63"/>
      <c r="D29" s="68">
        <f t="shared" si="6"/>
        <v>-4802</v>
      </c>
      <c r="E29" s="68">
        <f>JUNEYTD!E29-MayYTD!E29</f>
        <v>-5875</v>
      </c>
      <c r="F29" s="68">
        <f>JUNEYTD!F29-MayYTD!F29</f>
        <v>1073</v>
      </c>
      <c r="G29" s="68">
        <f>JUNEYTD!G29-MayYTD!G29</f>
        <v>0</v>
      </c>
      <c r="H29" s="68">
        <f>JUNEYTD!H29-MayYTD!H29</f>
        <v>0</v>
      </c>
      <c r="I29" s="68">
        <f>JUNEYTD!I29-MayYTD!I29</f>
        <v>0</v>
      </c>
      <c r="J29" s="68">
        <f>JUNEYTD!J29-MayYTD!J29</f>
        <v>0</v>
      </c>
      <c r="K29" s="68">
        <f>JUNEYTD!K29-MayYTD!K29</f>
        <v>0</v>
      </c>
      <c r="L29" s="68">
        <f>JUNEYTD!L29-MayYTD!L29</f>
        <v>0</v>
      </c>
      <c r="M29" s="68">
        <f>JUNEYTD!M29-MayYTD!M29</f>
        <v>0</v>
      </c>
      <c r="N29" s="68">
        <f t="shared" si="7"/>
        <v>0</v>
      </c>
      <c r="O29" s="68">
        <f>JUNEYTD!O29-MayYTD!O29</f>
        <v>0</v>
      </c>
      <c r="P29" s="68">
        <f>JUNEYTD!Q29-MayYTD!P29</f>
        <v>0</v>
      </c>
      <c r="R29" s="68">
        <f>+JUNEYTD!S29-MayYTD!R29</f>
        <v>0</v>
      </c>
    </row>
    <row r="30" spans="1:18" ht="12.75" customHeight="1" outlineLevel="4" x14ac:dyDescent="0.2">
      <c r="A30" s="67" t="s">
        <v>30</v>
      </c>
      <c r="B30" s="69">
        <f t="shared" si="5"/>
        <v>5043</v>
      </c>
      <c r="C30" s="63"/>
      <c r="D30" s="68">
        <f t="shared" si="6"/>
        <v>5043</v>
      </c>
      <c r="E30" s="68">
        <f>JUNEYTD!E30-MayYTD!E30</f>
        <v>2033</v>
      </c>
      <c r="F30" s="68">
        <f>JUNEYTD!F30-MayYTD!F30</f>
        <v>208</v>
      </c>
      <c r="G30" s="68">
        <f>JUNEYTD!G30-MayYTD!G30</f>
        <v>0</v>
      </c>
      <c r="H30" s="68">
        <f>JUNEYTD!H30-MayYTD!H30</f>
        <v>-448</v>
      </c>
      <c r="I30" s="68">
        <f>JUNEYTD!I30-MayYTD!I30</f>
        <v>0</v>
      </c>
      <c r="J30" s="68">
        <f>JUNEYTD!J30-MayYTD!J30</f>
        <v>0</v>
      </c>
      <c r="K30" s="68">
        <f>JUNEYTD!K30-MayYTD!K30</f>
        <v>0</v>
      </c>
      <c r="L30" s="68">
        <f>JUNEYTD!L30-MayYTD!L30</f>
        <v>0</v>
      </c>
      <c r="M30" s="68">
        <f>JUNEYTD!M30-MayYTD!M30</f>
        <v>0</v>
      </c>
      <c r="N30" s="68">
        <f t="shared" si="7"/>
        <v>0</v>
      </c>
      <c r="O30" s="68">
        <f>JUNEYTD!O30-MayYTD!O30</f>
        <v>3250</v>
      </c>
      <c r="P30" s="68">
        <f>JUNEYTD!Q30-MayYTD!P30</f>
        <v>0</v>
      </c>
      <c r="R30" s="68">
        <f>JUNEYTD!S30-MayYTD!R30</f>
        <v>0</v>
      </c>
    </row>
    <row r="31" spans="1:18" ht="12.75" customHeight="1" outlineLevel="4" x14ac:dyDescent="0.2">
      <c r="A31" s="67" t="s">
        <v>33</v>
      </c>
      <c r="B31" s="84">
        <f>SUM(B21:B30)</f>
        <v>-45700</v>
      </c>
      <c r="C31" s="74"/>
      <c r="D31" s="84">
        <f t="shared" ref="D31:P31" si="8">SUM(D21:D30)</f>
        <v>-45752</v>
      </c>
      <c r="E31" s="84">
        <f t="shared" si="8"/>
        <v>-65312</v>
      </c>
      <c r="F31" s="84">
        <f t="shared" si="8"/>
        <v>-96</v>
      </c>
      <c r="G31" s="84">
        <f t="shared" si="8"/>
        <v>0</v>
      </c>
      <c r="H31" s="84">
        <f t="shared" si="8"/>
        <v>-995</v>
      </c>
      <c r="I31" s="84">
        <f t="shared" si="8"/>
        <v>-10</v>
      </c>
      <c r="J31" s="84">
        <f t="shared" si="8"/>
        <v>2350</v>
      </c>
      <c r="K31" s="84">
        <f t="shared" si="8"/>
        <v>-59</v>
      </c>
      <c r="L31" s="84">
        <f t="shared" si="8"/>
        <v>-23254</v>
      </c>
      <c r="M31" s="84">
        <f t="shared" si="8"/>
        <v>0</v>
      </c>
      <c r="N31" s="84">
        <f t="shared" si="8"/>
        <v>-23254</v>
      </c>
      <c r="O31" s="84">
        <f t="shared" si="8"/>
        <v>41606</v>
      </c>
      <c r="P31" s="84">
        <f t="shared" si="8"/>
        <v>18</v>
      </c>
      <c r="R31" s="84">
        <f>SUM(R21:R30)</f>
        <v>52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17281.178999999967</v>
      </c>
      <c r="C33" s="63"/>
      <c r="D33" s="75">
        <f>D19+D31</f>
        <v>16290.837999999967</v>
      </c>
      <c r="E33" s="75">
        <f>E19+E31</f>
        <v>-34287.29500000002</v>
      </c>
      <c r="F33" s="75">
        <f t="shared" ref="F33:M33" si="9">F19+F31</f>
        <v>4752.0269999999809</v>
      </c>
      <c r="G33" s="75">
        <f t="shared" si="9"/>
        <v>0</v>
      </c>
      <c r="H33" s="75">
        <f t="shared" si="9"/>
        <v>-1059.018</v>
      </c>
      <c r="I33" s="75">
        <f t="shared" si="9"/>
        <v>-3.5740000000000016</v>
      </c>
      <c r="J33" s="75">
        <f t="shared" si="9"/>
        <v>2632.576</v>
      </c>
      <c r="K33" s="75">
        <f t="shared" si="9"/>
        <v>-58.698999999999629</v>
      </c>
      <c r="L33" s="75">
        <f t="shared" si="9"/>
        <v>778.78600000000006</v>
      </c>
      <c r="M33" s="75">
        <f t="shared" si="9"/>
        <v>0</v>
      </c>
      <c r="N33" s="75">
        <f>N19+N31</f>
        <v>778.78600000000006</v>
      </c>
      <c r="O33" s="75">
        <f>O19+O31</f>
        <v>43730.456000000006</v>
      </c>
      <c r="P33" s="75">
        <f>P19+P31</f>
        <v>-194.42099999999999</v>
      </c>
      <c r="R33" s="75">
        <f>R19+R31</f>
        <v>990.3410000000008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15</v>
      </c>
      <c r="C36" s="63"/>
      <c r="D36" s="68">
        <f>SUM(E36:M36)+O36+P36</f>
        <v>15</v>
      </c>
      <c r="E36" s="68">
        <f>JUNEYTD!E36-MayYTD!E36</f>
        <v>15</v>
      </c>
      <c r="F36" s="68">
        <f>JUNEYTD!F36-MayYTD!F36</f>
        <v>0</v>
      </c>
      <c r="G36" s="68">
        <f>JUNEYTD!G36-MayYTD!G36</f>
        <v>0</v>
      </c>
      <c r="H36" s="68">
        <f>JUNEYTD!H36-MayYTD!H36</f>
        <v>0</v>
      </c>
      <c r="I36" s="68">
        <f>JUNEYTD!I36-MayYTD!I36</f>
        <v>0</v>
      </c>
      <c r="J36" s="68">
        <f>JUNEYTD!J36-MayYTD!J36</f>
        <v>0</v>
      </c>
      <c r="K36" s="68">
        <f>JUNEYTD!K36-MayYTD!K36</f>
        <v>0</v>
      </c>
      <c r="L36" s="68">
        <f>JUNEYTD!L36-MayYTD!L36</f>
        <v>0</v>
      </c>
      <c r="M36" s="68">
        <f>JUNEYTD!M36-MayYTD!M36</f>
        <v>0</v>
      </c>
      <c r="N36" s="76"/>
      <c r="O36" s="68">
        <f>JUNEYTD!O36-MayYTD!O36</f>
        <v>0</v>
      </c>
      <c r="P36" s="68">
        <f>JUNEYTD!Q36-MayYTD!P36</f>
        <v>0</v>
      </c>
    </row>
    <row r="37" spans="1:18" ht="12.75" customHeight="1" outlineLevel="4" x14ac:dyDescent="0.2">
      <c r="A37" s="62" t="s">
        <v>17</v>
      </c>
      <c r="B37" s="63">
        <f t="shared" si="10"/>
        <v>-6639</v>
      </c>
      <c r="C37" s="63"/>
      <c r="D37" s="68">
        <f>SUM(E37:M37)+O37+P37</f>
        <v>-6639</v>
      </c>
      <c r="E37" s="68">
        <f>JUNEYTD!E37-MayYTD!E37</f>
        <v>-4208</v>
      </c>
      <c r="F37" s="68">
        <f>JUNEYTD!F37-MayYTD!F37</f>
        <v>-2431</v>
      </c>
      <c r="G37" s="68">
        <f>JUNEYTD!G37-MayYTD!G37</f>
        <v>0</v>
      </c>
      <c r="H37" s="68">
        <f>JUNEYTD!H37-MayYTD!H37</f>
        <v>0</v>
      </c>
      <c r="I37" s="68">
        <f>JUNEYTD!I37-MayYTD!I37</f>
        <v>0</v>
      </c>
      <c r="J37" s="68">
        <f>JUNEYTD!J37-MayYTD!J37</f>
        <v>0</v>
      </c>
      <c r="K37" s="68">
        <f>JUNEYTD!K37-MayYTD!K37</f>
        <v>0</v>
      </c>
      <c r="L37" s="68">
        <f>JUNEYTD!L37-MayYTD!L37</f>
        <v>0</v>
      </c>
      <c r="M37" s="68">
        <f>JUNEYTD!M37-MayYTD!M37</f>
        <v>0</v>
      </c>
      <c r="N37" s="68">
        <f>M37+L37</f>
        <v>0</v>
      </c>
      <c r="O37" s="68">
        <f>JUNEYTD!O37-MayYTD!O37</f>
        <v>0</v>
      </c>
      <c r="P37" s="68">
        <f>JUNEYTD!Q37-MayYTD!P37</f>
        <v>0</v>
      </c>
    </row>
    <row r="38" spans="1:18" ht="12.75" customHeight="1" outlineLevel="4" x14ac:dyDescent="0.2">
      <c r="A38" s="62" t="s">
        <v>104</v>
      </c>
      <c r="B38" s="63">
        <f t="shared" si="10"/>
        <v>9940</v>
      </c>
      <c r="C38" s="63"/>
      <c r="D38" s="68">
        <f>SUM(E38:M38)+O38+P38</f>
        <v>9940</v>
      </c>
      <c r="E38" s="68">
        <f>JUNEYTD!E38-MayYTD!E38</f>
        <v>9889</v>
      </c>
      <c r="F38" s="68">
        <f>JUNEYTD!F38-MayYTD!F38</f>
        <v>51</v>
      </c>
      <c r="G38" s="68">
        <f>JUNEYTD!G38-MayYTD!G38</f>
        <v>0</v>
      </c>
      <c r="H38" s="68">
        <f>JUNEYTD!H38-MayYTD!H38</f>
        <v>0</v>
      </c>
      <c r="I38" s="68">
        <f>JUNEYTD!I38-MayYTD!I38</f>
        <v>0</v>
      </c>
      <c r="J38" s="68">
        <f>JUNEYTD!J38-MayYTD!J38</f>
        <v>0</v>
      </c>
      <c r="K38" s="68">
        <f>JUNEYTD!K38-MayYTD!K38</f>
        <v>0</v>
      </c>
      <c r="L38" s="68">
        <f>JUNEYTD!L38-MayYTD!L38</f>
        <v>0</v>
      </c>
      <c r="M38" s="68">
        <f>JUNEYTD!M38-MayYTD!M38</f>
        <v>0</v>
      </c>
      <c r="N38" s="68">
        <f>M38+L38</f>
        <v>0</v>
      </c>
      <c r="O38" s="68">
        <f>JUNEYTD!O38-MayYTD!O38</f>
        <v>0</v>
      </c>
      <c r="P38" s="68">
        <f>JUNEYTD!Q38-MayYTD!P38</f>
        <v>0</v>
      </c>
    </row>
    <row r="39" spans="1:18" ht="12.75" customHeight="1" outlineLevel="4" x14ac:dyDescent="0.2">
      <c r="A39" s="62" t="s">
        <v>113</v>
      </c>
      <c r="B39" s="63">
        <f t="shared" si="10"/>
        <v>0</v>
      </c>
      <c r="C39" s="63"/>
      <c r="D39" s="68">
        <f>SUM(E39:P39)</f>
        <v>0</v>
      </c>
      <c r="E39" s="68">
        <f>JUNEYTD!E39-MayYTD!E39</f>
        <v>0</v>
      </c>
      <c r="F39" s="68">
        <f>JUNEYTD!F39-MayYTD!F39</f>
        <v>0</v>
      </c>
      <c r="G39" s="68">
        <f>JUNEYTD!G39-MayYTD!G39</f>
        <v>0</v>
      </c>
      <c r="H39" s="68">
        <f>JUNEYTD!H39-MayYTD!H39</f>
        <v>0</v>
      </c>
      <c r="I39" s="68">
        <f>JUNEYTD!I39-MayYTD!I39</f>
        <v>0</v>
      </c>
      <c r="J39" s="68">
        <f>JUNEYTD!J39-MayYTD!J39</f>
        <v>0</v>
      </c>
      <c r="K39" s="68">
        <f>JUNEYTD!K39-MayYTD!K39</f>
        <v>0</v>
      </c>
      <c r="L39" s="68">
        <f>JUNEYTD!L39-MayYTD!L39</f>
        <v>0</v>
      </c>
      <c r="M39" s="68">
        <f>JUNEYTD!M39-MayYTD!M39</f>
        <v>0</v>
      </c>
      <c r="N39" s="68">
        <f>M39+L39</f>
        <v>0</v>
      </c>
      <c r="O39" s="68">
        <f>JUNEYTD!O39-MayYTD!O39</f>
        <v>0</v>
      </c>
      <c r="P39" s="68">
        <f>JUNEYTD!Q39-MayYTD!P39</f>
        <v>0</v>
      </c>
      <c r="R39" s="68">
        <f>JUNEYTD!S39-MayYTD!R39</f>
        <v>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JUNEYTD!E40-MayYTD!E40</f>
        <v>0</v>
      </c>
      <c r="F40" s="68">
        <f>JUNEYTD!F40-MayYTD!F40</f>
        <v>0</v>
      </c>
      <c r="G40" s="68">
        <f>JUNEYTD!G40-MayYTD!G40</f>
        <v>0</v>
      </c>
      <c r="H40" s="68">
        <f>JUNEYTD!H40-MayYTD!H40</f>
        <v>0</v>
      </c>
      <c r="I40" s="68">
        <f>JUNEYTD!I40-MayYTD!I40</f>
        <v>0</v>
      </c>
      <c r="J40" s="68">
        <f>JUNEYTD!J40-MayYTD!J40</f>
        <v>0</v>
      </c>
      <c r="K40" s="68">
        <f>JUNEYTD!K40-MayYTD!K40</f>
        <v>0</v>
      </c>
      <c r="L40" s="68">
        <f>JUNEYTD!L40-MayYTD!L40</f>
        <v>0</v>
      </c>
      <c r="M40" s="68">
        <f>JUNEYTD!M40-MayYTD!M40</f>
        <v>0</v>
      </c>
      <c r="N40" s="68">
        <f>M40+L40</f>
        <v>0</v>
      </c>
      <c r="O40" s="68">
        <f>JUNEYTD!O40-MayYTD!O40</f>
        <v>0</v>
      </c>
      <c r="P40" s="68">
        <f>JUNEYTD!Q40-MayYTD!P40</f>
        <v>0</v>
      </c>
      <c r="R40" s="68">
        <f>JUNEYTD!S40-MayYTD!R40</f>
        <v>0</v>
      </c>
    </row>
    <row r="41" spans="1:18" ht="12.75" customHeight="1" outlineLevel="4" x14ac:dyDescent="0.2">
      <c r="A41" s="67" t="s">
        <v>41</v>
      </c>
      <c r="B41" s="69">
        <f t="shared" si="10"/>
        <v>-11</v>
      </c>
      <c r="C41" s="63"/>
      <c r="D41" s="70">
        <f>SUM(E41:M41)+O41+P41</f>
        <v>-11</v>
      </c>
      <c r="E41" s="70">
        <f>JUNEYTD!E41-MayYTD!E41</f>
        <v>-11</v>
      </c>
      <c r="F41" s="70">
        <f>JUNEYTD!F41-MayYTD!F41</f>
        <v>0</v>
      </c>
      <c r="G41" s="70">
        <f>JUNEYTD!G41-MayYTD!G41</f>
        <v>0</v>
      </c>
      <c r="H41" s="70">
        <f>JUNEYTD!H41-MayYTD!H41</f>
        <v>0</v>
      </c>
      <c r="I41" s="70">
        <f>JUNEYTD!I41-MayYTD!I41</f>
        <v>0</v>
      </c>
      <c r="J41" s="70">
        <f>JUNEYTD!J41-MayYTD!J41</f>
        <v>0</v>
      </c>
      <c r="K41" s="70">
        <f>JUNEYTD!K41-MayYTD!K41</f>
        <v>0</v>
      </c>
      <c r="L41" s="70">
        <f>JUNEYTD!L41-MayYTD!L41</f>
        <v>0</v>
      </c>
      <c r="M41" s="70">
        <f>JUNEYTD!M41-MayYTD!M41</f>
        <v>0</v>
      </c>
      <c r="N41" s="70">
        <f>M41+L41</f>
        <v>0</v>
      </c>
      <c r="O41" s="70">
        <f>JUNEYTD!O41-MayYTD!O41</f>
        <v>0</v>
      </c>
      <c r="P41" s="70">
        <f>JUNEYTD!Q41-MayYTD!P41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3305</v>
      </c>
      <c r="C42" s="77">
        <f t="shared" si="11"/>
        <v>0</v>
      </c>
      <c r="D42" s="75">
        <f t="shared" si="11"/>
        <v>3305</v>
      </c>
      <c r="E42" s="75">
        <f t="shared" si="11"/>
        <v>5685</v>
      </c>
      <c r="F42" s="75">
        <f t="shared" si="11"/>
        <v>-2380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JUNEYTD!E45-MayYTD!E45</f>
        <v>0</v>
      </c>
      <c r="F45" s="68">
        <f>JUNEYTD!F45-MayYTD!F45</f>
        <v>0</v>
      </c>
      <c r="G45" s="68">
        <f>JUNEYTD!G45-MayYTD!G45</f>
        <v>0</v>
      </c>
      <c r="H45" s="68">
        <f>JUNEYTD!H45-MayYTD!H45</f>
        <v>0</v>
      </c>
      <c r="I45" s="68">
        <f>JUNEYTD!I45-MayYTD!I45</f>
        <v>0</v>
      </c>
      <c r="J45" s="68">
        <f>JUNEYTD!J45-MayYTD!J45</f>
        <v>0</v>
      </c>
      <c r="K45" s="68">
        <f>JUNEYTD!K45-MayYTD!K45</f>
        <v>0</v>
      </c>
      <c r="L45" s="68">
        <f>JUNEYTD!L45-MayYTD!L45</f>
        <v>0</v>
      </c>
      <c r="M45" s="68">
        <f>JUNEYTD!M45-MayYTD!M45</f>
        <v>0</v>
      </c>
      <c r="N45" s="68"/>
      <c r="O45" s="68">
        <f>JUNEYTD!O45-MayYTD!O45</f>
        <v>0</v>
      </c>
      <c r="P45" s="68">
        <f>JUNEYTD!Q45-MayYTD!P45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JUNEYTD!E46-MayYTD!E46</f>
        <v>0</v>
      </c>
      <c r="F46" s="68">
        <f>JUNEYTD!F46-MayYTD!F46</f>
        <v>0</v>
      </c>
      <c r="G46" s="68">
        <f>JUNEYTD!G46-MayYTD!G46</f>
        <v>0</v>
      </c>
      <c r="H46" s="68">
        <f>JUNEYTD!H46-MayYTD!H46</f>
        <v>0</v>
      </c>
      <c r="I46" s="68">
        <f>JUNEYTD!I46-MayYTD!I46</f>
        <v>0</v>
      </c>
      <c r="J46" s="68">
        <f>JUNEYTD!J46-MayYTD!J46</f>
        <v>0</v>
      </c>
      <c r="K46" s="68">
        <f>JUNEYTD!K46-MayYTD!K46</f>
        <v>0</v>
      </c>
      <c r="L46" s="68">
        <f>JUNEYTD!L46-MayYTD!L46</f>
        <v>0</v>
      </c>
      <c r="M46" s="68">
        <f>JUNEYTD!M46-MayYTD!M46</f>
        <v>0</v>
      </c>
      <c r="N46" s="68"/>
      <c r="O46" s="68">
        <f>JUNEYTD!O46-MayYTD!O46</f>
        <v>0</v>
      </c>
      <c r="P46" s="68">
        <f>JUNEYTD!Q46-MayYTD!P46</f>
        <v>0</v>
      </c>
    </row>
    <row r="47" spans="1:18" ht="12.75" customHeight="1" outlineLevel="4" x14ac:dyDescent="0.2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JUNEYTD!E47-MayYTD!E47</f>
        <v>0</v>
      </c>
      <c r="F47" s="68">
        <f>JUNEYTD!F47-MayYTD!F47</f>
        <v>0</v>
      </c>
      <c r="G47" s="68">
        <f>JUNEYTD!G47-MayYTD!G47</f>
        <v>0</v>
      </c>
      <c r="H47" s="68">
        <f>JUNEYTD!H47-MayYTD!H47</f>
        <v>0</v>
      </c>
      <c r="I47" s="68">
        <f>JUNEYTD!I47-MayYTD!I47</f>
        <v>0</v>
      </c>
      <c r="J47" s="68">
        <f>JUNEYTD!J47-MayYTD!J47</f>
        <v>0</v>
      </c>
      <c r="K47" s="68">
        <f>JUNEYTD!K47-MayYTD!K47</f>
        <v>0</v>
      </c>
      <c r="L47" s="68">
        <f>JUNEYTD!L47-MayYTD!L47</f>
        <v>0</v>
      </c>
      <c r="M47" s="68">
        <f>JUNEYTD!M47-MayYTD!M47</f>
        <v>0</v>
      </c>
      <c r="N47" s="68"/>
      <c r="O47" s="68">
        <f>JUNEYTD!O47-MayYTD!O47</f>
        <v>0</v>
      </c>
      <c r="P47" s="68">
        <f>JUNEYTD!Q47-MayYTD!P47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JUNEYTD!E48-MayYTD!E48</f>
        <v>0</v>
      </c>
      <c r="F48" s="68">
        <f>JUNEYTD!F48-MayYTD!F48</f>
        <v>0</v>
      </c>
      <c r="G48" s="68">
        <f>JUNEYTD!G48-MayYTD!G48</f>
        <v>0</v>
      </c>
      <c r="H48" s="68">
        <f>JUNEYTD!H48-MayYTD!H48</f>
        <v>0</v>
      </c>
      <c r="I48" s="68">
        <f>JUNEYTD!I48-MayYTD!I48</f>
        <v>0</v>
      </c>
      <c r="J48" s="68">
        <f>JUNEYTD!J48-MayYTD!J48</f>
        <v>0</v>
      </c>
      <c r="K48" s="68">
        <f>JUNEYTD!K48-MayYTD!K48</f>
        <v>0</v>
      </c>
      <c r="L48" s="68">
        <f>JUNEYTD!L48-MayYTD!L48</f>
        <v>0</v>
      </c>
      <c r="M48" s="68">
        <f>JUNEYTD!M48-MayYTD!M48</f>
        <v>0</v>
      </c>
      <c r="N48" s="68"/>
      <c r="O48" s="68">
        <f>JUNEYTD!O48-MayYTD!O48</f>
        <v>0</v>
      </c>
      <c r="P48" s="68">
        <f>JUNEYTD!Q48-MayYTD!P48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JUNEYTD!E49-MayYTD!E49</f>
        <v>0</v>
      </c>
      <c r="F49" s="68">
        <f>JUNEYTD!F49-MayYTD!F49</f>
        <v>0</v>
      </c>
      <c r="G49" s="68">
        <f>JUNEYTD!G49-MayYTD!G49</f>
        <v>0</v>
      </c>
      <c r="H49" s="68">
        <f>JUNEYTD!H49-MayYTD!H49</f>
        <v>0</v>
      </c>
      <c r="I49" s="68">
        <f>JUNEYTD!I49-MayYTD!I49</f>
        <v>0</v>
      </c>
      <c r="J49" s="68">
        <f>JUNEYTD!J49-MayYTD!J49</f>
        <v>0</v>
      </c>
      <c r="K49" s="68">
        <f>JUNEYTD!K49-MayYTD!K49</f>
        <v>0</v>
      </c>
      <c r="L49" s="68">
        <f>JUNEYTD!L49-MayYTD!L49</f>
        <v>0</v>
      </c>
      <c r="M49" s="68">
        <f>JUNEYTD!M49-MayYTD!M49</f>
        <v>0</v>
      </c>
      <c r="N49" s="72"/>
      <c r="O49" s="68">
        <f>JUNEYTD!O49-MayYTD!O49</f>
        <v>0</v>
      </c>
      <c r="P49" s="68">
        <f>JUNEYTD!Q49-MayYTD!P49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20586.178999999967</v>
      </c>
      <c r="C52" s="63"/>
      <c r="D52" s="77">
        <f t="shared" ref="D52:M52" si="13">D33+D42+D50</f>
        <v>19595.837999999967</v>
      </c>
      <c r="E52" s="77">
        <f t="shared" si="13"/>
        <v>-28602.29500000002</v>
      </c>
      <c r="F52" s="77">
        <f t="shared" si="13"/>
        <v>2372.0269999999809</v>
      </c>
      <c r="G52" s="77">
        <f t="shared" si="13"/>
        <v>0</v>
      </c>
      <c r="H52" s="77">
        <f t="shared" si="13"/>
        <v>-1059.018</v>
      </c>
      <c r="I52" s="77">
        <f t="shared" si="13"/>
        <v>-3.5740000000000016</v>
      </c>
      <c r="J52" s="77">
        <f t="shared" si="13"/>
        <v>2632.576</v>
      </c>
      <c r="K52" s="77">
        <f t="shared" si="13"/>
        <v>-58.698999999999629</v>
      </c>
      <c r="L52" s="77">
        <f t="shared" si="13"/>
        <v>778.78600000000006</v>
      </c>
      <c r="M52" s="77">
        <f t="shared" si="13"/>
        <v>0</v>
      </c>
      <c r="N52" s="77">
        <f>M52+L52</f>
        <v>778.78600000000006</v>
      </c>
      <c r="O52" s="77">
        <f>O33+O42+O50</f>
        <v>43730.456000000006</v>
      </c>
      <c r="P52" s="77">
        <f>P33+P42+P50</f>
        <v>-194.42099999999999</v>
      </c>
      <c r="R52" s="77">
        <f>R33+R42+R50</f>
        <v>990.3410000000008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4</v>
      </c>
      <c r="C54" s="63"/>
      <c r="D54" s="70">
        <f>SUM(E54:M54)+O54+P54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JUNEYTD!Q54-MayYTD!P54</f>
        <v>-5</v>
      </c>
      <c r="R54" s="70">
        <f>+'[13]JUNE_MO '!$H$50</f>
        <v>9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20590.178999999967</v>
      </c>
      <c r="C56" s="63"/>
      <c r="D56" s="81">
        <f>+D52-D54</f>
        <v>19600.837999999967</v>
      </c>
      <c r="E56" s="81">
        <f t="shared" ref="E56:O56" si="14">E54+E52</f>
        <v>-28602.29500000002</v>
      </c>
      <c r="F56" s="81">
        <f t="shared" si="14"/>
        <v>2372.0269999999809</v>
      </c>
      <c r="G56" s="81">
        <f t="shared" si="14"/>
        <v>0</v>
      </c>
      <c r="H56" s="81">
        <f t="shared" si="14"/>
        <v>-1059.018</v>
      </c>
      <c r="I56" s="81">
        <f t="shared" si="14"/>
        <v>-3.5740000000000016</v>
      </c>
      <c r="J56" s="81">
        <f t="shared" si="14"/>
        <v>2632.576</v>
      </c>
      <c r="K56" s="81">
        <f t="shared" si="14"/>
        <v>-58.698999999999629</v>
      </c>
      <c r="L56" s="81">
        <f t="shared" si="14"/>
        <v>778.78600000000006</v>
      </c>
      <c r="M56" s="81">
        <f t="shared" si="14"/>
        <v>0</v>
      </c>
      <c r="N56" s="81">
        <f t="shared" si="14"/>
        <v>778.78600000000006</v>
      </c>
      <c r="O56" s="81">
        <f t="shared" si="14"/>
        <v>43730.456000000006</v>
      </c>
      <c r="P56" s="81">
        <f>+P52-P54</f>
        <v>-189.42099999999999</v>
      </c>
      <c r="R56" s="81">
        <f>+R52-R54</f>
        <v>981.3410000000008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JUNEYTD!E58-MayYTD!E58</f>
        <v>-6</v>
      </c>
      <c r="F58" s="70">
        <f>JUNEYTD!F58-MayYTD!F58</f>
        <v>0</v>
      </c>
      <c r="G58" s="70">
        <f>JUNEYTD!G58-MayYTD!G58</f>
        <v>0</v>
      </c>
      <c r="H58" s="70">
        <f>JUNEYTD!H58-MayYTD!H58</f>
        <v>0</v>
      </c>
      <c r="I58" s="70">
        <f>JUNEYTD!I58-MayYTD!I58</f>
        <v>-28</v>
      </c>
      <c r="J58" s="70">
        <f>JUNEYTD!J58-MayYTD!J58</f>
        <v>-766</v>
      </c>
      <c r="K58" s="70">
        <f>JUNEYTD!K58-MayYTD!K58</f>
        <v>794</v>
      </c>
      <c r="L58" s="70">
        <f>JUNEYTD!L58-MayYTD!L58</f>
        <v>0</v>
      </c>
      <c r="M58" s="70">
        <f>JUNEYTD!M58-MayYTD!M58</f>
        <v>0</v>
      </c>
      <c r="N58" s="80">
        <v>0</v>
      </c>
      <c r="O58" s="70">
        <f>JUNEYTD!O58-MayYTD!O58</f>
        <v>0</v>
      </c>
      <c r="P58" s="70">
        <f>JUNEYTD!Q58-MayYTD!P58</f>
        <v>0</v>
      </c>
      <c r="R58" s="55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20584.178999999967</v>
      </c>
      <c r="C60" s="46"/>
      <c r="D60" s="81">
        <f>D56+D58</f>
        <v>19594.837999999967</v>
      </c>
      <c r="E60" s="81">
        <f>E56+E58</f>
        <v>-28608.29500000002</v>
      </c>
      <c r="F60" s="81">
        <f t="shared" ref="F60:M60" si="15">F56+F58</f>
        <v>2372.0269999999809</v>
      </c>
      <c r="G60" s="81">
        <f t="shared" si="15"/>
        <v>0</v>
      </c>
      <c r="H60" s="81">
        <f t="shared" si="15"/>
        <v>-1059.018</v>
      </c>
      <c r="I60" s="81">
        <f t="shared" si="15"/>
        <v>-31.574000000000002</v>
      </c>
      <c r="J60" s="81">
        <f t="shared" si="15"/>
        <v>1866.576</v>
      </c>
      <c r="K60" s="81">
        <f t="shared" si="15"/>
        <v>735.30100000000039</v>
      </c>
      <c r="L60" s="81">
        <f t="shared" si="15"/>
        <v>778.78600000000006</v>
      </c>
      <c r="M60" s="81">
        <f t="shared" si="15"/>
        <v>0</v>
      </c>
      <c r="N60" s="81">
        <f>M60+L60</f>
        <v>778.78600000000006</v>
      </c>
      <c r="O60" s="81">
        <f>O56+O58</f>
        <v>43730.456000000006</v>
      </c>
      <c r="P60" s="81">
        <f>P56+P58</f>
        <v>-189.42099999999999</v>
      </c>
      <c r="R60" s="81">
        <f>R56+R58</f>
        <v>981.3410000000008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Mar99Notes</vt:lpstr>
      <vt:lpstr>Mar99YTD</vt:lpstr>
      <vt:lpstr>SEPTCM </vt:lpstr>
      <vt:lpstr>SEPTYTD</vt:lpstr>
      <vt:lpstr>AUGCM </vt:lpstr>
      <vt:lpstr>AUGYTD </vt:lpstr>
      <vt:lpstr>JulyCM </vt:lpstr>
      <vt:lpstr>JULYYTD </vt:lpstr>
      <vt:lpstr>JuneCM</vt:lpstr>
      <vt:lpstr>JUNEYTD</vt:lpstr>
      <vt:lpstr>MayCM</vt:lpstr>
      <vt:lpstr>MayYTD</vt:lpstr>
      <vt:lpstr>AprCM</vt:lpstr>
      <vt:lpstr>AprYTD</vt:lpstr>
      <vt:lpstr>MarCM</vt:lpstr>
      <vt:lpstr>MarYTD</vt:lpstr>
      <vt:lpstr>FebYTD</vt:lpstr>
      <vt:lpstr>FebCM</vt:lpstr>
      <vt:lpstr>JAN2000</vt:lpstr>
      <vt:lpstr>AACFHDRCOL</vt:lpstr>
      <vt:lpstr>AACFHDRROW</vt:lpstr>
      <vt:lpstr>AACFWKS</vt:lpstr>
      <vt:lpstr>AACFWKS1</vt:lpstr>
      <vt:lpstr>AAWSSIDEWAYS</vt:lpstr>
      <vt:lpstr>AWAACF</vt:lpstr>
      <vt:lpstr>BORDERCAAWP</vt:lpstr>
      <vt:lpstr>BORDERRAAWP</vt:lpstr>
      <vt:lpstr>BORDERRWWAP</vt:lpstr>
      <vt:lpstr>FebCM!Print_Area</vt:lpstr>
      <vt:lpstr>FebYTD!Print_Area</vt:lpstr>
      <vt:lpstr>JAN2000!Print_Area</vt:lpstr>
      <vt:lpstr>Mar99YTD!Print_Area</vt:lpstr>
      <vt:lpstr>MayYTD!Print_Area</vt:lpstr>
      <vt:lpstr>JAN2000!Print_Titles</vt:lpstr>
      <vt:lpstr>PRT_RNG_AA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Felienne</cp:lastModifiedBy>
  <cp:lastPrinted>2000-11-06T21:17:19Z</cp:lastPrinted>
  <dcterms:created xsi:type="dcterms:W3CDTF">1998-10-22T20:33:21Z</dcterms:created>
  <dcterms:modified xsi:type="dcterms:W3CDTF">2014-09-05T11:14:05Z</dcterms:modified>
</cp:coreProperties>
</file>