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35" windowWidth="9720" windowHeight="7320" tabRatio="739" activeTab="3"/>
  </bookViews>
  <sheets>
    <sheet name="Intro" sheetId="1" r:id="rId1"/>
    <sheet name="Exec Summ" sheetId="8" r:id="rId2"/>
    <sheet name="Detail" sheetId="3" r:id="rId3"/>
    <sheet name="Headcount" sheetId="7" r:id="rId4"/>
    <sheet name="Capital" sheetId="5" r:id="rId5"/>
    <sheet name="Exhibit A" sheetId="6" r:id="rId6"/>
    <sheet name="Allocations" sheetId="4" r:id="rId7"/>
    <sheet name="SAP Interface" sheetId="19" r:id="rId8"/>
    <sheet name="MSA  Interface" sheetId="12" r:id="rId9"/>
    <sheet name="CHECK" sheetId="13" r:id="rId10"/>
    <sheet name="Charts" sheetId="10" r:id="rId11"/>
    <sheet name="Entry" sheetId="2" r:id="rId12"/>
    <sheet name="Module1" sheetId="14" state="veryHidden" r:id=""/>
    <sheet name="Module3" sheetId="15" state="veryHidden" r:id=""/>
    <sheet name="Module2" sheetId="16" state="veryHidden" r:id=""/>
    <sheet name="Module4" sheetId="17" state="veryHidden" r:id=""/>
    <sheet name="Module5" sheetId="18" state="veryHidden" r:id=""/>
  </sheets>
  <definedNames>
    <definedName name="alloc">Allocations!$A$1:$S$57</definedName>
    <definedName name="charts">Charts!$A$1:$Q$39</definedName>
    <definedName name="detail">Detail!$A$7:$T$474</definedName>
    <definedName name="exec_summ">'Exec Summ'!$A$1:$L$44</definedName>
    <definedName name="headcount">Headcount!$A$1:$O$59</definedName>
    <definedName name="_xlnm.Print_Area" localSheetId="6">Allocations!$A$1:$V$53</definedName>
    <definedName name="_xlnm.Print_Area" localSheetId="4">Capital!$A$1:$O$25</definedName>
    <definedName name="_xlnm.Print_Area" localSheetId="10">Charts!$A$1:$O$46</definedName>
    <definedName name="_xlnm.Print_Area" localSheetId="2">Detail!$A$12:$T$474</definedName>
    <definedName name="_xlnm.Print_Area" localSheetId="1">'Exec Summ'!$A$1:$L$44</definedName>
    <definedName name="_xlnm.Print_Area" localSheetId="5">'Exhibit A'!$A$7:$H$59</definedName>
    <definedName name="_xlnm.Print_Area" localSheetId="3">Headcount!$A$1:$O$59</definedName>
    <definedName name="_xlnm.Print_Area" localSheetId="8">'MSA  Interface'!$A$1:$Q$79</definedName>
    <definedName name="_xlnm.Print_Titles" localSheetId="2">Detail!$7:$11</definedName>
    <definedName name="upload">'MSA  Interface'!$A$1:$R$69</definedName>
  </definedNames>
  <calcPr calcId="152511" calcMode="manual" fullCalcOnLoad="1"/>
</workbook>
</file>

<file path=xl/calcChain.xml><?xml version="1.0" encoding="utf-8"?>
<calcChain xmlns="http://schemas.openxmlformats.org/spreadsheetml/2006/main">
  <c r="A2" i="4" l="1"/>
  <c r="A3" i="4"/>
  <c r="B3" i="4"/>
  <c r="Q10" i="4"/>
  <c r="Q12" i="4"/>
  <c r="Q13" i="4"/>
  <c r="Q14" i="4"/>
  <c r="Q15" i="4"/>
  <c r="Q16" i="4"/>
  <c r="Q17" i="4"/>
  <c r="Q18" i="4"/>
  <c r="Q19" i="4"/>
  <c r="Q20" i="4"/>
  <c r="Q21" i="4"/>
  <c r="Q22" i="4"/>
  <c r="Q23" i="4"/>
  <c r="Q25" i="4"/>
  <c r="Q26" i="4"/>
  <c r="Q28" i="4"/>
  <c r="Q29" i="4"/>
  <c r="Q30" i="4"/>
  <c r="Q31" i="4"/>
  <c r="Q32" i="4"/>
  <c r="Q33" i="4"/>
  <c r="Q34" i="4"/>
  <c r="Q35" i="4"/>
  <c r="Q36" i="4"/>
  <c r="Q37" i="4"/>
  <c r="Q38" i="4"/>
  <c r="Q40" i="4"/>
  <c r="Q41" i="4"/>
  <c r="Q45" i="4"/>
  <c r="Q46" i="4"/>
  <c r="F36" i="12" s="1"/>
  <c r="Q47" i="4"/>
  <c r="Q48" i="4"/>
  <c r="G68" i="12" s="1"/>
  <c r="Q49" i="4"/>
  <c r="Q50" i="4"/>
  <c r="C51" i="4"/>
  <c r="C16" i="13" s="1"/>
  <c r="D51" i="4"/>
  <c r="A1" i="5"/>
  <c r="F12" i="5"/>
  <c r="H12" i="5"/>
  <c r="F38" i="8" s="1"/>
  <c r="J12" i="5"/>
  <c r="L12" i="5"/>
  <c r="N12" i="5"/>
  <c r="D24" i="5"/>
  <c r="H24" i="5"/>
  <c r="F2" i="10"/>
  <c r="E11" i="13"/>
  <c r="F11" i="13"/>
  <c r="G11" i="13"/>
  <c r="D16" i="13"/>
  <c r="B7" i="3"/>
  <c r="B8" i="3"/>
  <c r="C8" i="3"/>
  <c r="C11" i="6" s="1"/>
  <c r="R13" i="3"/>
  <c r="R18" i="3" s="1"/>
  <c r="R14" i="3"/>
  <c r="S14" i="3" s="1"/>
  <c r="T14" i="3"/>
  <c r="R15" i="3"/>
  <c r="S15" i="3"/>
  <c r="T15" i="3" s="1"/>
  <c r="R16" i="3"/>
  <c r="S16" i="3"/>
  <c r="T16" i="3"/>
  <c r="R17" i="3"/>
  <c r="S17" i="3"/>
  <c r="T17" i="3" s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D22" i="3"/>
  <c r="D25" i="3" s="1"/>
  <c r="E22" i="3"/>
  <c r="E25" i="3" s="1"/>
  <c r="R23" i="3"/>
  <c r="S23" i="3" s="1"/>
  <c r="T23" i="3"/>
  <c r="R24" i="3"/>
  <c r="S24" i="3"/>
  <c r="T24" i="3" s="1"/>
  <c r="R27" i="3"/>
  <c r="R28" i="3"/>
  <c r="R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F32" i="3"/>
  <c r="G32" i="3"/>
  <c r="H32" i="3"/>
  <c r="I32" i="3"/>
  <c r="J32" i="3"/>
  <c r="K32" i="3"/>
  <c r="L32" i="3"/>
  <c r="M32" i="3"/>
  <c r="N32" i="3"/>
  <c r="O32" i="3"/>
  <c r="P32" i="3"/>
  <c r="Q32" i="3"/>
  <c r="R33" i="3"/>
  <c r="D34" i="3"/>
  <c r="D35" i="3" s="1"/>
  <c r="E34" i="3"/>
  <c r="F34" i="3"/>
  <c r="G34" i="3"/>
  <c r="H34" i="3"/>
  <c r="I34" i="3"/>
  <c r="J34" i="3"/>
  <c r="L34" i="3"/>
  <c r="M34" i="3"/>
  <c r="N34" i="3"/>
  <c r="O34" i="3"/>
  <c r="P34" i="3"/>
  <c r="Q34" i="3"/>
  <c r="S34" i="3"/>
  <c r="T34" i="3"/>
  <c r="F48" i="3"/>
  <c r="R48" i="3" s="1"/>
  <c r="T48" i="3"/>
  <c r="R49" i="3"/>
  <c r="S49" i="3" s="1"/>
  <c r="T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S50" i="3"/>
  <c r="T50" i="3"/>
  <c r="F52" i="3"/>
  <c r="R52" i="3"/>
  <c r="T52" i="3"/>
  <c r="R53" i="3"/>
  <c r="S53" i="3"/>
  <c r="D54" i="3"/>
  <c r="D76" i="3" s="1"/>
  <c r="E54" i="3"/>
  <c r="F54" i="3"/>
  <c r="E6" i="19" s="1"/>
  <c r="G54" i="3"/>
  <c r="H54" i="3"/>
  <c r="I54" i="3"/>
  <c r="J54" i="3"/>
  <c r="I6" i="19" s="1"/>
  <c r="K54" i="3"/>
  <c r="L54" i="3"/>
  <c r="L76" i="3" s="1"/>
  <c r="M54" i="3"/>
  <c r="N54" i="3"/>
  <c r="M6" i="19" s="1"/>
  <c r="O54" i="3"/>
  <c r="P54" i="3"/>
  <c r="P76" i="3" s="1"/>
  <c r="Q54" i="3"/>
  <c r="R54" i="3"/>
  <c r="R56" i="3"/>
  <c r="S56" i="3"/>
  <c r="R57" i="3"/>
  <c r="S57" i="3" s="1"/>
  <c r="T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F60" i="3"/>
  <c r="F62" i="3" s="1"/>
  <c r="R60" i="3"/>
  <c r="T60" i="3"/>
  <c r="R61" i="3"/>
  <c r="S61" i="3"/>
  <c r="D62" i="3"/>
  <c r="E62" i="3"/>
  <c r="G62" i="3"/>
  <c r="H62" i="3"/>
  <c r="I62" i="3"/>
  <c r="J62" i="3"/>
  <c r="K62" i="3"/>
  <c r="L62" i="3"/>
  <c r="M62" i="3"/>
  <c r="N62" i="3"/>
  <c r="O62" i="3"/>
  <c r="P62" i="3"/>
  <c r="Q62" i="3"/>
  <c r="F64" i="3"/>
  <c r="R64" i="3"/>
  <c r="T64" i="3"/>
  <c r="R65" i="3"/>
  <c r="S65" i="3" s="1"/>
  <c r="T65" i="3"/>
  <c r="D66" i="3"/>
  <c r="E66" i="3"/>
  <c r="F66" i="3"/>
  <c r="G66" i="3"/>
  <c r="F9" i="19" s="1"/>
  <c r="H66" i="3"/>
  <c r="I66" i="3"/>
  <c r="J66" i="3"/>
  <c r="K66" i="3"/>
  <c r="L66" i="3"/>
  <c r="M66" i="3"/>
  <c r="N66" i="3"/>
  <c r="O66" i="3"/>
  <c r="N9" i="19" s="1"/>
  <c r="P66" i="3"/>
  <c r="Q66" i="3"/>
  <c r="S66" i="3"/>
  <c r="F68" i="3"/>
  <c r="R68" i="3" s="1"/>
  <c r="T68" i="3"/>
  <c r="R69" i="3"/>
  <c r="S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O10" i="19" s="1"/>
  <c r="Q70" i="3"/>
  <c r="F72" i="3"/>
  <c r="R72" i="3"/>
  <c r="T72" i="3"/>
  <c r="R73" i="3"/>
  <c r="S73" i="3" s="1"/>
  <c r="T73" i="3"/>
  <c r="T74" i="3" s="1"/>
  <c r="D74" i="3"/>
  <c r="E74" i="3"/>
  <c r="F74" i="3"/>
  <c r="G74" i="3"/>
  <c r="H74" i="3"/>
  <c r="I74" i="3"/>
  <c r="J74" i="3"/>
  <c r="K74" i="3"/>
  <c r="J11" i="19" s="1"/>
  <c r="L74" i="3"/>
  <c r="M74" i="3"/>
  <c r="N74" i="3"/>
  <c r="O74" i="3"/>
  <c r="P74" i="3"/>
  <c r="Q74" i="3"/>
  <c r="S74" i="3"/>
  <c r="F76" i="3"/>
  <c r="J76" i="3"/>
  <c r="F80" i="3"/>
  <c r="R80" i="3"/>
  <c r="T80" i="3"/>
  <c r="R81" i="3"/>
  <c r="S81" i="3"/>
  <c r="T81" i="3"/>
  <c r="T82" i="3" s="1"/>
  <c r="D82" i="3"/>
  <c r="E82" i="3"/>
  <c r="F82" i="3"/>
  <c r="G82" i="3"/>
  <c r="H82" i="3"/>
  <c r="I82" i="3"/>
  <c r="J82" i="3"/>
  <c r="K82" i="3"/>
  <c r="K212" i="3" s="1"/>
  <c r="L82" i="3"/>
  <c r="M82" i="3"/>
  <c r="N82" i="3"/>
  <c r="O82" i="3"/>
  <c r="P82" i="3"/>
  <c r="Q82" i="3"/>
  <c r="S82" i="3"/>
  <c r="R84" i="3"/>
  <c r="R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S86" i="3"/>
  <c r="T86" i="3"/>
  <c r="R88" i="3"/>
  <c r="R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S90" i="3"/>
  <c r="T90" i="3"/>
  <c r="F92" i="3"/>
  <c r="R92" i="3"/>
  <c r="T92" i="3"/>
  <c r="R93" i="3"/>
  <c r="S93" i="3"/>
  <c r="D94" i="3"/>
  <c r="E94" i="3"/>
  <c r="F94" i="3"/>
  <c r="E15" i="19" s="1"/>
  <c r="G94" i="3"/>
  <c r="H94" i="3"/>
  <c r="I94" i="3"/>
  <c r="J94" i="3"/>
  <c r="K94" i="3"/>
  <c r="L94" i="3"/>
  <c r="M94" i="3"/>
  <c r="N94" i="3"/>
  <c r="M15" i="19" s="1"/>
  <c r="O94" i="3"/>
  <c r="P94" i="3"/>
  <c r="Q94" i="3"/>
  <c r="R96" i="3"/>
  <c r="S96" i="3" s="1"/>
  <c r="T96" i="3"/>
  <c r="R97" i="3"/>
  <c r="S97" i="3" s="1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100" i="3"/>
  <c r="S100" i="3" s="1"/>
  <c r="T100" i="3"/>
  <c r="R101" i="3"/>
  <c r="S101" i="3" s="1"/>
  <c r="T101" i="3" s="1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4" i="3"/>
  <c r="S104" i="3"/>
  <c r="T104" i="3"/>
  <c r="T106" i="3" s="1"/>
  <c r="R105" i="3"/>
  <c r="S105" i="3" s="1"/>
  <c r="T105" i="3" s="1"/>
  <c r="D106" i="3"/>
  <c r="E106" i="3"/>
  <c r="F106" i="3"/>
  <c r="G106" i="3"/>
  <c r="H106" i="3"/>
  <c r="I106" i="3"/>
  <c r="J106" i="3"/>
  <c r="K106" i="3"/>
  <c r="L106" i="3"/>
  <c r="M106" i="3"/>
  <c r="L18" i="19" s="1"/>
  <c r="N106" i="3"/>
  <c r="O106" i="3"/>
  <c r="P106" i="3"/>
  <c r="Q106" i="3"/>
  <c r="S106" i="3"/>
  <c r="F108" i="3"/>
  <c r="R108" i="3" s="1"/>
  <c r="T108" i="3"/>
  <c r="R109" i="3"/>
  <c r="S109" i="3"/>
  <c r="D110" i="3"/>
  <c r="E110" i="3"/>
  <c r="F110" i="3"/>
  <c r="G110" i="3"/>
  <c r="H110" i="3"/>
  <c r="I110" i="3"/>
  <c r="J110" i="3"/>
  <c r="I19" i="19" s="1"/>
  <c r="K110" i="3"/>
  <c r="L110" i="3"/>
  <c r="M110" i="3"/>
  <c r="N110" i="3"/>
  <c r="O110" i="3"/>
  <c r="P110" i="3"/>
  <c r="Q110" i="3"/>
  <c r="R110" i="3"/>
  <c r="H18" i="8" s="1"/>
  <c r="S28" i="8" s="1"/>
  <c r="R112" i="3"/>
  <c r="S112" i="3"/>
  <c r="R113" i="3"/>
  <c r="S113" i="3" s="1"/>
  <c r="T113" i="3" s="1"/>
  <c r="D114" i="3"/>
  <c r="E114" i="3"/>
  <c r="F114" i="3"/>
  <c r="G114" i="3"/>
  <c r="H114" i="3"/>
  <c r="I114" i="3"/>
  <c r="J114" i="3"/>
  <c r="K114" i="3"/>
  <c r="L114" i="3"/>
  <c r="M114" i="3"/>
  <c r="L20" i="19" s="1"/>
  <c r="N114" i="3"/>
  <c r="O114" i="3"/>
  <c r="P114" i="3"/>
  <c r="Q114" i="3"/>
  <c r="R116" i="3"/>
  <c r="S116" i="3" s="1"/>
  <c r="R117" i="3"/>
  <c r="S117" i="3"/>
  <c r="T117" i="3"/>
  <c r="D118" i="3"/>
  <c r="E118" i="3"/>
  <c r="F118" i="3"/>
  <c r="G118" i="3"/>
  <c r="H118" i="3"/>
  <c r="I118" i="3"/>
  <c r="J118" i="3"/>
  <c r="K118" i="3"/>
  <c r="J21" i="19" s="1"/>
  <c r="L118" i="3"/>
  <c r="M118" i="3"/>
  <c r="N118" i="3"/>
  <c r="O118" i="3"/>
  <c r="P118" i="3"/>
  <c r="Q118" i="3"/>
  <c r="R120" i="3"/>
  <c r="S120" i="3"/>
  <c r="R121" i="3"/>
  <c r="S121" i="3" s="1"/>
  <c r="T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4" i="3"/>
  <c r="S124" i="3"/>
  <c r="S126" i="3" s="1"/>
  <c r="T124" i="3"/>
  <c r="T126" i="3" s="1"/>
  <c r="R125" i="3"/>
  <c r="S125" i="3"/>
  <c r="T125" i="3" s="1"/>
  <c r="D126" i="3"/>
  <c r="E126" i="3"/>
  <c r="F126" i="3"/>
  <c r="R126" i="3" s="1"/>
  <c r="G126" i="3"/>
  <c r="H126" i="3"/>
  <c r="I126" i="3"/>
  <c r="J126" i="3"/>
  <c r="K126" i="3"/>
  <c r="L126" i="3"/>
  <c r="M126" i="3"/>
  <c r="N126" i="3"/>
  <c r="O126" i="3"/>
  <c r="P126" i="3"/>
  <c r="Q126" i="3"/>
  <c r="F128" i="3"/>
  <c r="F130" i="3" s="1"/>
  <c r="R128" i="3"/>
  <c r="T128" i="3"/>
  <c r="R129" i="3"/>
  <c r="S129" i="3" s="1"/>
  <c r="T129" i="3"/>
  <c r="D130" i="3"/>
  <c r="E130" i="3"/>
  <c r="G130" i="3"/>
  <c r="H130" i="3"/>
  <c r="I130" i="3"/>
  <c r="J130" i="3"/>
  <c r="K130" i="3"/>
  <c r="L130" i="3"/>
  <c r="M130" i="3"/>
  <c r="N130" i="3"/>
  <c r="O130" i="3"/>
  <c r="P130" i="3"/>
  <c r="Q130" i="3"/>
  <c r="S130" i="3"/>
  <c r="R132" i="3"/>
  <c r="S132" i="3" s="1"/>
  <c r="R133" i="3"/>
  <c r="S133" i="3"/>
  <c r="T133" i="3" s="1"/>
  <c r="D134" i="3"/>
  <c r="D16" i="8" s="1"/>
  <c r="E134" i="3"/>
  <c r="F134" i="3"/>
  <c r="G134" i="3"/>
  <c r="H134" i="3"/>
  <c r="G25" i="19" s="1"/>
  <c r="I134" i="3"/>
  <c r="J134" i="3"/>
  <c r="K134" i="3"/>
  <c r="L134" i="3"/>
  <c r="M134" i="3"/>
  <c r="N134" i="3"/>
  <c r="O134" i="3"/>
  <c r="P134" i="3"/>
  <c r="O25" i="19" s="1"/>
  <c r="Q134" i="3"/>
  <c r="F136" i="3"/>
  <c r="R136" i="3"/>
  <c r="T136" i="3"/>
  <c r="R137" i="3"/>
  <c r="S137" i="3" s="1"/>
  <c r="T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S138" i="3"/>
  <c r="F140" i="3"/>
  <c r="R140" i="3" s="1"/>
  <c r="T140" i="3"/>
  <c r="R141" i="3"/>
  <c r="S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P27" i="19" s="1"/>
  <c r="R144" i="3"/>
  <c r="S144" i="3"/>
  <c r="R145" i="3"/>
  <c r="S145" i="3"/>
  <c r="T145" i="3" s="1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8" i="3"/>
  <c r="S148" i="3" s="1"/>
  <c r="T148" i="3"/>
  <c r="R149" i="3"/>
  <c r="S149" i="3"/>
  <c r="T149" i="3" s="1"/>
  <c r="T150" i="3" s="1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2" i="3"/>
  <c r="R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R156" i="3"/>
  <c r="R157" i="3"/>
  <c r="D158" i="3"/>
  <c r="E158" i="3"/>
  <c r="F158" i="3"/>
  <c r="G158" i="3"/>
  <c r="H158" i="3"/>
  <c r="I158" i="3"/>
  <c r="J158" i="3"/>
  <c r="K158" i="3"/>
  <c r="L158" i="3"/>
  <c r="M158" i="3"/>
  <c r="N158" i="3"/>
  <c r="M31" i="19" s="1"/>
  <c r="O158" i="3"/>
  <c r="P158" i="3"/>
  <c r="Q158" i="3"/>
  <c r="S158" i="3"/>
  <c r="T158" i="3"/>
  <c r="R160" i="3"/>
  <c r="R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S162" i="3"/>
  <c r="T162" i="3"/>
  <c r="R164" i="3"/>
  <c r="R165" i="3"/>
  <c r="D166" i="3"/>
  <c r="E166" i="3"/>
  <c r="F166" i="3"/>
  <c r="E33" i="19" s="1"/>
  <c r="G166" i="3"/>
  <c r="H166" i="3"/>
  <c r="I166" i="3"/>
  <c r="J166" i="3"/>
  <c r="K166" i="3"/>
  <c r="L166" i="3"/>
  <c r="M166" i="3"/>
  <c r="N166" i="3"/>
  <c r="M33" i="19" s="1"/>
  <c r="O166" i="3"/>
  <c r="P166" i="3"/>
  <c r="Q166" i="3"/>
  <c r="S166" i="3"/>
  <c r="T166" i="3"/>
  <c r="R168" i="3"/>
  <c r="R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S170" i="3"/>
  <c r="T170" i="3"/>
  <c r="R172" i="3"/>
  <c r="R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S174" i="3"/>
  <c r="T174" i="3"/>
  <c r="R176" i="3"/>
  <c r="R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S178" i="3"/>
  <c r="T178" i="3"/>
  <c r="R180" i="3"/>
  <c r="R181" i="3"/>
  <c r="D182" i="3"/>
  <c r="E182" i="3"/>
  <c r="F182" i="3"/>
  <c r="R182" i="3" s="1"/>
  <c r="G182" i="3"/>
  <c r="H182" i="3"/>
  <c r="I182" i="3"/>
  <c r="J182" i="3"/>
  <c r="K182" i="3"/>
  <c r="L182" i="3"/>
  <c r="M182" i="3"/>
  <c r="N182" i="3"/>
  <c r="O182" i="3"/>
  <c r="P182" i="3"/>
  <c r="Q182" i="3"/>
  <c r="S182" i="3"/>
  <c r="T182" i="3"/>
  <c r="R184" i="3"/>
  <c r="R185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S186" i="3"/>
  <c r="T186" i="3"/>
  <c r="F188" i="3"/>
  <c r="R189" i="3"/>
  <c r="S189" i="3" s="1"/>
  <c r="T189" i="3" s="1"/>
  <c r="D190" i="3"/>
  <c r="E190" i="3"/>
  <c r="G190" i="3"/>
  <c r="H190" i="3"/>
  <c r="I190" i="3"/>
  <c r="J190" i="3"/>
  <c r="I39" i="19" s="1"/>
  <c r="K190" i="3"/>
  <c r="L190" i="3"/>
  <c r="M190" i="3"/>
  <c r="N190" i="3"/>
  <c r="O190" i="3"/>
  <c r="P190" i="3"/>
  <c r="Q190" i="3"/>
  <c r="F192" i="3"/>
  <c r="R192" i="3" s="1"/>
  <c r="T192" i="3"/>
  <c r="R193" i="3"/>
  <c r="S193" i="3"/>
  <c r="D194" i="3"/>
  <c r="E194" i="3"/>
  <c r="F194" i="3"/>
  <c r="G194" i="3"/>
  <c r="H194" i="3"/>
  <c r="I194" i="3"/>
  <c r="J194" i="3"/>
  <c r="K194" i="3"/>
  <c r="L194" i="3"/>
  <c r="M194" i="3"/>
  <c r="N194" i="3"/>
  <c r="M40" i="19" s="1"/>
  <c r="O194" i="3"/>
  <c r="P194" i="3"/>
  <c r="Q194" i="3"/>
  <c r="R196" i="3"/>
  <c r="S196" i="3"/>
  <c r="R197" i="3"/>
  <c r="S197" i="3"/>
  <c r="T197" i="3" s="1"/>
  <c r="D198" i="3"/>
  <c r="E198" i="3"/>
  <c r="F198" i="3"/>
  <c r="G198" i="3"/>
  <c r="H198" i="3"/>
  <c r="I198" i="3"/>
  <c r="J198" i="3"/>
  <c r="I41" i="19" s="1"/>
  <c r="K198" i="3"/>
  <c r="L198" i="3"/>
  <c r="M198" i="3"/>
  <c r="N198" i="3"/>
  <c r="O198" i="3"/>
  <c r="P198" i="3"/>
  <c r="Q198" i="3"/>
  <c r="R198" i="3"/>
  <c r="R200" i="3"/>
  <c r="S200" i="3" s="1"/>
  <c r="T200" i="3"/>
  <c r="T202" i="3" s="1"/>
  <c r="R201" i="3"/>
  <c r="S201" i="3"/>
  <c r="T201" i="3" s="1"/>
  <c r="D202" i="3"/>
  <c r="E202" i="3"/>
  <c r="F202" i="3"/>
  <c r="G202" i="3"/>
  <c r="H202" i="3"/>
  <c r="I202" i="3"/>
  <c r="J202" i="3"/>
  <c r="K202" i="3"/>
  <c r="L202" i="3"/>
  <c r="M202" i="3"/>
  <c r="R202" i="3" s="1"/>
  <c r="N202" i="3"/>
  <c r="O202" i="3"/>
  <c r="P202" i="3"/>
  <c r="Q202" i="3"/>
  <c r="R204" i="3"/>
  <c r="R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S206" i="3"/>
  <c r="T206" i="3"/>
  <c r="R208" i="3"/>
  <c r="R209" i="3"/>
  <c r="D210" i="3"/>
  <c r="E210" i="3"/>
  <c r="F210" i="3"/>
  <c r="R210" i="3" s="1"/>
  <c r="G210" i="3"/>
  <c r="H210" i="3"/>
  <c r="I210" i="3"/>
  <c r="J210" i="3"/>
  <c r="K210" i="3"/>
  <c r="L210" i="3"/>
  <c r="M210" i="3"/>
  <c r="N210" i="3"/>
  <c r="O210" i="3"/>
  <c r="P210" i="3"/>
  <c r="Q210" i="3"/>
  <c r="S210" i="3"/>
  <c r="T210" i="3"/>
  <c r="L212" i="3"/>
  <c r="R216" i="3"/>
  <c r="R217" i="3"/>
  <c r="S217" i="3"/>
  <c r="R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24" i="3"/>
  <c r="S224" i="3" s="1"/>
  <c r="R225" i="3"/>
  <c r="S225" i="3"/>
  <c r="T225" i="3" s="1"/>
  <c r="D226" i="3"/>
  <c r="E226" i="3"/>
  <c r="F226" i="3"/>
  <c r="G226" i="3"/>
  <c r="H226" i="3"/>
  <c r="G47" i="19" s="1"/>
  <c r="I226" i="3"/>
  <c r="J226" i="3"/>
  <c r="K226" i="3"/>
  <c r="L226" i="3"/>
  <c r="M226" i="3"/>
  <c r="N226" i="3"/>
  <c r="O226" i="3"/>
  <c r="P226" i="3"/>
  <c r="O47" i="19" s="1"/>
  <c r="Q226" i="3"/>
  <c r="R228" i="3"/>
  <c r="S228" i="3"/>
  <c r="S230" i="3" s="1"/>
  <c r="T228" i="3"/>
  <c r="R229" i="3"/>
  <c r="S229" i="3" s="1"/>
  <c r="T229" i="3"/>
  <c r="D230" i="3"/>
  <c r="E230" i="3"/>
  <c r="F230" i="3"/>
  <c r="G230" i="3"/>
  <c r="H230" i="3"/>
  <c r="I230" i="3"/>
  <c r="H48" i="19" s="1"/>
  <c r="J230" i="3"/>
  <c r="K230" i="3"/>
  <c r="L230" i="3"/>
  <c r="M230" i="3"/>
  <c r="N230" i="3"/>
  <c r="O230" i="3"/>
  <c r="P230" i="3"/>
  <c r="Q230" i="3"/>
  <c r="P48" i="19" s="1"/>
  <c r="R232" i="3"/>
  <c r="R233" i="3"/>
  <c r="D234" i="3"/>
  <c r="E234" i="3"/>
  <c r="F234" i="3"/>
  <c r="G234" i="3"/>
  <c r="H234" i="3"/>
  <c r="I234" i="3"/>
  <c r="J234" i="3"/>
  <c r="K234" i="3"/>
  <c r="J49" i="19" s="1"/>
  <c r="L234" i="3"/>
  <c r="M234" i="3"/>
  <c r="N234" i="3"/>
  <c r="O234" i="3"/>
  <c r="P234" i="3"/>
  <c r="Q234" i="3"/>
  <c r="S234" i="3"/>
  <c r="T234" i="3"/>
  <c r="R236" i="3"/>
  <c r="R237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S238" i="3"/>
  <c r="T238" i="3"/>
  <c r="R240" i="3"/>
  <c r="R241" i="3"/>
  <c r="D242" i="3"/>
  <c r="E242" i="3"/>
  <c r="F242" i="3"/>
  <c r="G242" i="3"/>
  <c r="H242" i="3"/>
  <c r="I242" i="3"/>
  <c r="J242" i="3"/>
  <c r="K242" i="3"/>
  <c r="L242" i="3"/>
  <c r="R242" i="3" s="1"/>
  <c r="M242" i="3"/>
  <c r="N242" i="3"/>
  <c r="O242" i="3"/>
  <c r="P242" i="3"/>
  <c r="Q242" i="3"/>
  <c r="S242" i="3"/>
  <c r="T242" i="3"/>
  <c r="R244" i="3"/>
  <c r="R245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S246" i="3"/>
  <c r="T246" i="3"/>
  <c r="R248" i="3"/>
  <c r="S248" i="3" s="1"/>
  <c r="T248" i="3"/>
  <c r="R249" i="3"/>
  <c r="S249" i="3"/>
  <c r="T249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S250" i="3"/>
  <c r="T250" i="3"/>
  <c r="R252" i="3"/>
  <c r="R253" i="3"/>
  <c r="D254" i="3"/>
  <c r="E254" i="3"/>
  <c r="E339" i="3" s="1"/>
  <c r="F21" i="8" s="1"/>
  <c r="F254" i="3"/>
  <c r="G254" i="3"/>
  <c r="H254" i="3"/>
  <c r="I254" i="3"/>
  <c r="J254" i="3"/>
  <c r="K254" i="3"/>
  <c r="L254" i="3"/>
  <c r="M254" i="3"/>
  <c r="N254" i="3"/>
  <c r="O254" i="3"/>
  <c r="P254" i="3"/>
  <c r="Q254" i="3"/>
  <c r="S254" i="3"/>
  <c r="T254" i="3"/>
  <c r="R256" i="3"/>
  <c r="R257" i="3"/>
  <c r="D258" i="3"/>
  <c r="E258" i="3"/>
  <c r="F258" i="3"/>
  <c r="G258" i="3"/>
  <c r="H258" i="3"/>
  <c r="I258" i="3"/>
  <c r="J258" i="3"/>
  <c r="K258" i="3"/>
  <c r="R258" i="3" s="1"/>
  <c r="L258" i="3"/>
  <c r="M258" i="3"/>
  <c r="N258" i="3"/>
  <c r="O258" i="3"/>
  <c r="P258" i="3"/>
  <c r="Q258" i="3"/>
  <c r="S258" i="3"/>
  <c r="T258" i="3"/>
  <c r="R260" i="3"/>
  <c r="R261" i="3"/>
  <c r="D262" i="3"/>
  <c r="E262" i="3"/>
  <c r="F262" i="3"/>
  <c r="G262" i="3"/>
  <c r="H262" i="3"/>
  <c r="G56" i="19" s="1"/>
  <c r="I262" i="3"/>
  <c r="J262" i="3"/>
  <c r="K262" i="3"/>
  <c r="L262" i="3"/>
  <c r="M262" i="3"/>
  <c r="N262" i="3"/>
  <c r="O262" i="3"/>
  <c r="P262" i="3"/>
  <c r="O56" i="19" s="1"/>
  <c r="Q262" i="3"/>
  <c r="S262" i="3"/>
  <c r="T262" i="3"/>
  <c r="R264" i="3"/>
  <c r="R265" i="3"/>
  <c r="D266" i="3"/>
  <c r="E266" i="3"/>
  <c r="F266" i="3"/>
  <c r="G266" i="3"/>
  <c r="H266" i="3"/>
  <c r="G57" i="19" s="1"/>
  <c r="I266" i="3"/>
  <c r="J266" i="3"/>
  <c r="K266" i="3"/>
  <c r="L266" i="3"/>
  <c r="M266" i="3"/>
  <c r="N266" i="3"/>
  <c r="M57" i="19" s="1"/>
  <c r="O266" i="3"/>
  <c r="P266" i="3"/>
  <c r="O57" i="19" s="1"/>
  <c r="Q266" i="3"/>
  <c r="S266" i="3"/>
  <c r="T266" i="3"/>
  <c r="R268" i="3"/>
  <c r="R269" i="3"/>
  <c r="D270" i="3"/>
  <c r="E270" i="3"/>
  <c r="F270" i="3"/>
  <c r="G270" i="3"/>
  <c r="H270" i="3"/>
  <c r="I270" i="3"/>
  <c r="J270" i="3"/>
  <c r="K270" i="3"/>
  <c r="J58" i="19" s="1"/>
  <c r="L270" i="3"/>
  <c r="M270" i="3"/>
  <c r="L58" i="19" s="1"/>
  <c r="N270" i="3"/>
  <c r="O270" i="3"/>
  <c r="P270" i="3"/>
  <c r="Q270" i="3"/>
  <c r="S270" i="3"/>
  <c r="T270" i="3"/>
  <c r="R272" i="3"/>
  <c r="R273" i="3"/>
  <c r="D274" i="3"/>
  <c r="E274" i="3"/>
  <c r="F274" i="3"/>
  <c r="E59" i="19" s="1"/>
  <c r="G274" i="3"/>
  <c r="H274" i="3"/>
  <c r="I274" i="3"/>
  <c r="J274" i="3"/>
  <c r="I59" i="19" s="1"/>
  <c r="K274" i="3"/>
  <c r="L274" i="3"/>
  <c r="M274" i="3"/>
  <c r="N274" i="3"/>
  <c r="M59" i="19" s="1"/>
  <c r="O274" i="3"/>
  <c r="P274" i="3"/>
  <c r="Q274" i="3"/>
  <c r="R274" i="3"/>
  <c r="S274" i="3"/>
  <c r="T274" i="3"/>
  <c r="R276" i="3"/>
  <c r="R277" i="3"/>
  <c r="D278" i="3"/>
  <c r="E278" i="3"/>
  <c r="F278" i="3"/>
  <c r="G278" i="3"/>
  <c r="F60" i="19" s="1"/>
  <c r="H278" i="3"/>
  <c r="I278" i="3"/>
  <c r="J278" i="3"/>
  <c r="K278" i="3"/>
  <c r="J60" i="19" s="1"/>
  <c r="L278" i="3"/>
  <c r="M278" i="3"/>
  <c r="L60" i="19" s="1"/>
  <c r="N278" i="3"/>
  <c r="O278" i="3"/>
  <c r="N60" i="19" s="1"/>
  <c r="P278" i="3"/>
  <c r="Q278" i="3"/>
  <c r="S278" i="3"/>
  <c r="T278" i="3"/>
  <c r="R280" i="3"/>
  <c r="R281" i="3"/>
  <c r="D282" i="3"/>
  <c r="E282" i="3"/>
  <c r="F282" i="3"/>
  <c r="G282" i="3"/>
  <c r="H282" i="3"/>
  <c r="I282" i="3"/>
  <c r="J282" i="3"/>
  <c r="K282" i="3"/>
  <c r="L282" i="3"/>
  <c r="M282" i="3"/>
  <c r="L61" i="19" s="1"/>
  <c r="N282" i="3"/>
  <c r="O282" i="3"/>
  <c r="P282" i="3"/>
  <c r="Q282" i="3"/>
  <c r="S282" i="3"/>
  <c r="T282" i="3"/>
  <c r="R284" i="3"/>
  <c r="R285" i="3"/>
  <c r="D286" i="3"/>
  <c r="E286" i="3"/>
  <c r="F286" i="3"/>
  <c r="E62" i="19" s="1"/>
  <c r="G286" i="3"/>
  <c r="H286" i="3"/>
  <c r="I286" i="3"/>
  <c r="J286" i="3"/>
  <c r="I62" i="19" s="1"/>
  <c r="K286" i="3"/>
  <c r="L286" i="3"/>
  <c r="M286" i="3"/>
  <c r="N286" i="3"/>
  <c r="M62" i="19" s="1"/>
  <c r="O286" i="3"/>
  <c r="P286" i="3"/>
  <c r="Q286" i="3"/>
  <c r="R286" i="3"/>
  <c r="S286" i="3"/>
  <c r="T286" i="3"/>
  <c r="R288" i="3"/>
  <c r="R289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S290" i="3"/>
  <c r="T290" i="3"/>
  <c r="R292" i="3"/>
  <c r="R293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S294" i="3"/>
  <c r="T294" i="3"/>
  <c r="R296" i="3"/>
  <c r="R297" i="3"/>
  <c r="D298" i="3"/>
  <c r="E298" i="3"/>
  <c r="F298" i="3"/>
  <c r="G298" i="3"/>
  <c r="H298" i="3"/>
  <c r="I298" i="3"/>
  <c r="J298" i="3"/>
  <c r="I65" i="19" s="1"/>
  <c r="K298" i="3"/>
  <c r="L298" i="3"/>
  <c r="M298" i="3"/>
  <c r="N298" i="3"/>
  <c r="M65" i="19" s="1"/>
  <c r="O298" i="3"/>
  <c r="P298" i="3"/>
  <c r="Q298" i="3"/>
  <c r="S298" i="3"/>
  <c r="T298" i="3"/>
  <c r="R300" i="3"/>
  <c r="R301" i="3"/>
  <c r="D302" i="3"/>
  <c r="E302" i="3"/>
  <c r="F302" i="3"/>
  <c r="G302" i="3"/>
  <c r="H302" i="3"/>
  <c r="I302" i="3"/>
  <c r="J302" i="3"/>
  <c r="K302" i="3"/>
  <c r="J66" i="19" s="1"/>
  <c r="L302" i="3"/>
  <c r="M302" i="3"/>
  <c r="N302" i="3"/>
  <c r="O302" i="3"/>
  <c r="P302" i="3"/>
  <c r="Q302" i="3"/>
  <c r="S302" i="3"/>
  <c r="T302" i="3"/>
  <c r="R304" i="3"/>
  <c r="R305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P67" i="19" s="1"/>
  <c r="S306" i="3"/>
  <c r="T306" i="3"/>
  <c r="R308" i="3"/>
  <c r="R309" i="3"/>
  <c r="D310" i="3"/>
  <c r="E310" i="3"/>
  <c r="F310" i="3"/>
  <c r="G310" i="3"/>
  <c r="H310" i="3"/>
  <c r="I310" i="3"/>
  <c r="J310" i="3"/>
  <c r="K310" i="3"/>
  <c r="L310" i="3"/>
  <c r="M310" i="3"/>
  <c r="N310" i="3"/>
  <c r="M68" i="19" s="1"/>
  <c r="O310" i="3"/>
  <c r="P310" i="3"/>
  <c r="Q310" i="3"/>
  <c r="S310" i="3"/>
  <c r="T310" i="3"/>
  <c r="R312" i="3"/>
  <c r="S312" i="3"/>
  <c r="T312" i="3"/>
  <c r="T314" i="3" s="1"/>
  <c r="R313" i="3"/>
  <c r="S313" i="3" s="1"/>
  <c r="T313" i="3" s="1"/>
  <c r="D314" i="3"/>
  <c r="E314" i="3"/>
  <c r="F314" i="3"/>
  <c r="G314" i="3"/>
  <c r="H314" i="3"/>
  <c r="I314" i="3"/>
  <c r="J314" i="3"/>
  <c r="I69" i="19" s="1"/>
  <c r="K314" i="3"/>
  <c r="L314" i="3"/>
  <c r="M314" i="3"/>
  <c r="N314" i="3"/>
  <c r="O314" i="3"/>
  <c r="P314" i="3"/>
  <c r="Q314" i="3"/>
  <c r="R314" i="3"/>
  <c r="R316" i="3"/>
  <c r="S316" i="3" s="1"/>
  <c r="R317" i="3"/>
  <c r="S317" i="3" s="1"/>
  <c r="T317" i="3" s="1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P70" i="19" s="1"/>
  <c r="R320" i="3"/>
  <c r="S320" i="3"/>
  <c r="R321" i="3"/>
  <c r="S321" i="3" s="1"/>
  <c r="T321" i="3" s="1"/>
  <c r="D322" i="3"/>
  <c r="E322" i="3"/>
  <c r="F322" i="3"/>
  <c r="E71" i="19" s="1"/>
  <c r="G322" i="3"/>
  <c r="H322" i="3"/>
  <c r="I322" i="3"/>
  <c r="H71" i="19" s="1"/>
  <c r="J322" i="3"/>
  <c r="K322" i="3"/>
  <c r="L322" i="3"/>
  <c r="M322" i="3"/>
  <c r="N322" i="3"/>
  <c r="M71" i="19" s="1"/>
  <c r="O322" i="3"/>
  <c r="P322" i="3"/>
  <c r="Q322" i="3"/>
  <c r="P71" i="19" s="1"/>
  <c r="R324" i="3"/>
  <c r="S324" i="3"/>
  <c r="T324" i="3"/>
  <c r="R325" i="3"/>
  <c r="S325" i="3" s="1"/>
  <c r="T325" i="3" s="1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8" i="3"/>
  <c r="S328" i="3" s="1"/>
  <c r="S330" i="3" s="1"/>
  <c r="T328" i="3"/>
  <c r="T330" i="3" s="1"/>
  <c r="R329" i="3"/>
  <c r="S329" i="3"/>
  <c r="T329" i="3"/>
  <c r="D330" i="3"/>
  <c r="E330" i="3"/>
  <c r="F330" i="3"/>
  <c r="G330" i="3"/>
  <c r="H330" i="3"/>
  <c r="I330" i="3"/>
  <c r="J330" i="3"/>
  <c r="K330" i="3"/>
  <c r="L330" i="3"/>
  <c r="K73" i="19" s="1"/>
  <c r="M330" i="3"/>
  <c r="N330" i="3"/>
  <c r="O330" i="3"/>
  <c r="P330" i="3"/>
  <c r="Q330" i="3"/>
  <c r="R332" i="3"/>
  <c r="S332" i="3"/>
  <c r="R333" i="3"/>
  <c r="S333" i="3" s="1"/>
  <c r="T333" i="3" s="1"/>
  <c r="D334" i="3"/>
  <c r="E334" i="3"/>
  <c r="F334" i="3"/>
  <c r="E74" i="19" s="1"/>
  <c r="G334" i="3"/>
  <c r="H334" i="3"/>
  <c r="I334" i="3"/>
  <c r="J334" i="3"/>
  <c r="I74" i="19" s="1"/>
  <c r="K334" i="3"/>
  <c r="L334" i="3"/>
  <c r="M334" i="3"/>
  <c r="N334" i="3"/>
  <c r="M74" i="19" s="1"/>
  <c r="O334" i="3"/>
  <c r="P334" i="3"/>
  <c r="Q334" i="3"/>
  <c r="R334" i="3"/>
  <c r="R336" i="3"/>
  <c r="S336" i="3" s="1"/>
  <c r="R337" i="3"/>
  <c r="S337" i="3"/>
  <c r="T337" i="3" s="1"/>
  <c r="D338" i="3"/>
  <c r="E338" i="3"/>
  <c r="F338" i="3"/>
  <c r="G338" i="3"/>
  <c r="H338" i="3"/>
  <c r="I338" i="3"/>
  <c r="J338" i="3"/>
  <c r="K338" i="3"/>
  <c r="L338" i="3"/>
  <c r="M338" i="3"/>
  <c r="N338" i="3"/>
  <c r="M75" i="19" s="1"/>
  <c r="O338" i="3"/>
  <c r="N75" i="19" s="1"/>
  <c r="P338" i="3"/>
  <c r="Q338" i="3"/>
  <c r="F348" i="3"/>
  <c r="J348" i="3"/>
  <c r="K348" i="3" s="1"/>
  <c r="L348" i="3"/>
  <c r="M348" i="3"/>
  <c r="F349" i="3"/>
  <c r="J349" i="3"/>
  <c r="K349" i="3"/>
  <c r="F350" i="3"/>
  <c r="J350" i="3"/>
  <c r="F351" i="3"/>
  <c r="J351" i="3"/>
  <c r="K351" i="3" s="1"/>
  <c r="F352" i="3"/>
  <c r="J352" i="3"/>
  <c r="F353" i="3"/>
  <c r="J353" i="3"/>
  <c r="K353" i="3"/>
  <c r="L353" i="3" s="1"/>
  <c r="F354" i="3"/>
  <c r="J354" i="3"/>
  <c r="F355" i="3"/>
  <c r="J355" i="3"/>
  <c r="F356" i="3"/>
  <c r="J356" i="3"/>
  <c r="K356" i="3"/>
  <c r="L356" i="3"/>
  <c r="F357" i="3"/>
  <c r="J357" i="3"/>
  <c r="F358" i="3"/>
  <c r="J358" i="3"/>
  <c r="F359" i="3"/>
  <c r="J359" i="3"/>
  <c r="F360" i="3"/>
  <c r="J360" i="3"/>
  <c r="K360" i="3"/>
  <c r="L360" i="3"/>
  <c r="F361" i="3"/>
  <c r="J361" i="3"/>
  <c r="F362" i="3"/>
  <c r="J362" i="3"/>
  <c r="K362" i="3"/>
  <c r="L362" i="3"/>
  <c r="M362" i="3" s="1"/>
  <c r="F363" i="3"/>
  <c r="J363" i="3"/>
  <c r="K363" i="3"/>
  <c r="L363" i="3" s="1"/>
  <c r="F364" i="3"/>
  <c r="J364" i="3"/>
  <c r="K364" i="3"/>
  <c r="L364" i="3"/>
  <c r="F365" i="3"/>
  <c r="J365" i="3"/>
  <c r="F366" i="3"/>
  <c r="J366" i="3"/>
  <c r="K366" i="3"/>
  <c r="L366" i="3" s="1"/>
  <c r="M366" i="3"/>
  <c r="F367" i="3"/>
  <c r="J367" i="3"/>
  <c r="K367" i="3"/>
  <c r="F368" i="3"/>
  <c r="J368" i="3"/>
  <c r="F369" i="3"/>
  <c r="F411" i="3" s="1"/>
  <c r="J369" i="3"/>
  <c r="K369" i="3" s="1"/>
  <c r="L369" i="3"/>
  <c r="M369" i="3" s="1"/>
  <c r="N369" i="3" s="1"/>
  <c r="F370" i="3"/>
  <c r="J370" i="3"/>
  <c r="K370" i="3" s="1"/>
  <c r="L370" i="3"/>
  <c r="F371" i="3"/>
  <c r="J371" i="3"/>
  <c r="F372" i="3"/>
  <c r="J372" i="3"/>
  <c r="K372" i="3"/>
  <c r="L372" i="3"/>
  <c r="M372" i="3"/>
  <c r="F373" i="3"/>
  <c r="F415" i="3" s="1"/>
  <c r="J373" i="3"/>
  <c r="F374" i="3"/>
  <c r="J374" i="3"/>
  <c r="K374" i="3"/>
  <c r="F375" i="3"/>
  <c r="J375" i="3"/>
  <c r="K375" i="3"/>
  <c r="L375" i="3" s="1"/>
  <c r="M375" i="3"/>
  <c r="N375" i="3" s="1"/>
  <c r="O375" i="3" s="1"/>
  <c r="F376" i="3"/>
  <c r="J376" i="3"/>
  <c r="K376" i="3"/>
  <c r="L376" i="3"/>
  <c r="M376" i="3"/>
  <c r="F377" i="3"/>
  <c r="J377" i="3"/>
  <c r="F378" i="3"/>
  <c r="J378" i="3"/>
  <c r="K378" i="3"/>
  <c r="F379" i="3"/>
  <c r="J379" i="3"/>
  <c r="K379" i="3"/>
  <c r="F380" i="3"/>
  <c r="J380" i="3"/>
  <c r="K380" i="3"/>
  <c r="L380" i="3" s="1"/>
  <c r="F381" i="3"/>
  <c r="J381" i="3"/>
  <c r="F382" i="3"/>
  <c r="J382" i="3"/>
  <c r="K382" i="3"/>
  <c r="F383" i="3"/>
  <c r="J383" i="3"/>
  <c r="K383" i="3"/>
  <c r="F384" i="3"/>
  <c r="J384" i="3"/>
  <c r="K384" i="3"/>
  <c r="L384" i="3"/>
  <c r="M384" i="3"/>
  <c r="N384" i="3" s="1"/>
  <c r="O384" i="3"/>
  <c r="P384" i="3" s="1"/>
  <c r="Q384" i="3"/>
  <c r="F385" i="3"/>
  <c r="J385" i="3"/>
  <c r="K385" i="3"/>
  <c r="F386" i="3"/>
  <c r="J386" i="3"/>
  <c r="K386" i="3"/>
  <c r="G387" i="3"/>
  <c r="H387" i="3"/>
  <c r="I387" i="3"/>
  <c r="F390" i="3"/>
  <c r="F391" i="3"/>
  <c r="G391" i="3" s="1"/>
  <c r="F392" i="3"/>
  <c r="F393" i="3"/>
  <c r="F394" i="3"/>
  <c r="G394" i="3"/>
  <c r="H394" i="3" s="1"/>
  <c r="I394" i="3"/>
  <c r="I435" i="3" s="1"/>
  <c r="J394" i="3"/>
  <c r="J435" i="3" s="1"/>
  <c r="F395" i="3"/>
  <c r="G395" i="3"/>
  <c r="H395" i="3" s="1"/>
  <c r="I395" i="3" s="1"/>
  <c r="I436" i="3" s="1"/>
  <c r="J395" i="3"/>
  <c r="J436" i="3" s="1"/>
  <c r="K395" i="3"/>
  <c r="K436" i="3" s="1"/>
  <c r="F397" i="3"/>
  <c r="G397" i="3"/>
  <c r="F398" i="3"/>
  <c r="F439" i="3" s="1"/>
  <c r="G398" i="3"/>
  <c r="H398" i="3"/>
  <c r="I398" i="3" s="1"/>
  <c r="J398" i="3"/>
  <c r="J439" i="3" s="1"/>
  <c r="F399" i="3"/>
  <c r="F400" i="3"/>
  <c r="F441" i="3" s="1"/>
  <c r="G400" i="3"/>
  <c r="H400" i="3"/>
  <c r="F401" i="3"/>
  <c r="G401" i="3"/>
  <c r="F402" i="3"/>
  <c r="F403" i="3"/>
  <c r="G403" i="3" s="1"/>
  <c r="H403" i="3" s="1"/>
  <c r="H444" i="3" s="1"/>
  <c r="I403" i="3"/>
  <c r="I444" i="3" s="1"/>
  <c r="F404" i="3"/>
  <c r="G404" i="3" s="1"/>
  <c r="H404" i="3"/>
  <c r="F406" i="3"/>
  <c r="G406" i="3"/>
  <c r="G447" i="3" s="1"/>
  <c r="H406" i="3"/>
  <c r="F408" i="3"/>
  <c r="G408" i="3"/>
  <c r="H408" i="3"/>
  <c r="F409" i="3"/>
  <c r="G409" i="3"/>
  <c r="F410" i="3"/>
  <c r="G410" i="3" s="1"/>
  <c r="H410" i="3" s="1"/>
  <c r="I410" i="3"/>
  <c r="G411" i="3"/>
  <c r="H411" i="3" s="1"/>
  <c r="I411" i="3"/>
  <c r="I452" i="3" s="1"/>
  <c r="J411" i="3"/>
  <c r="J452" i="3" s="1"/>
  <c r="K411" i="3"/>
  <c r="K452" i="3" s="1"/>
  <c r="F412" i="3"/>
  <c r="F413" i="3"/>
  <c r="G413" i="3"/>
  <c r="F416" i="3"/>
  <c r="G416" i="3"/>
  <c r="H416" i="3" s="1"/>
  <c r="I416" i="3" s="1"/>
  <c r="J416" i="3"/>
  <c r="F424" i="3"/>
  <c r="G424" i="3" s="1"/>
  <c r="H424" i="3"/>
  <c r="I424" i="3"/>
  <c r="J424" i="3"/>
  <c r="J465" i="3" s="1"/>
  <c r="D431" i="3"/>
  <c r="E431" i="3"/>
  <c r="D432" i="3"/>
  <c r="E432" i="3"/>
  <c r="F432" i="3"/>
  <c r="D433" i="3"/>
  <c r="E433" i="3"/>
  <c r="D434" i="3"/>
  <c r="E434" i="3"/>
  <c r="D435" i="3"/>
  <c r="D472" i="3" s="1"/>
  <c r="E435" i="3"/>
  <c r="F435" i="3"/>
  <c r="G435" i="3"/>
  <c r="H435" i="3"/>
  <c r="D436" i="3"/>
  <c r="E436" i="3"/>
  <c r="F436" i="3"/>
  <c r="H436" i="3"/>
  <c r="D437" i="3"/>
  <c r="E437" i="3"/>
  <c r="D438" i="3"/>
  <c r="E438" i="3"/>
  <c r="F438" i="3"/>
  <c r="D439" i="3"/>
  <c r="E439" i="3"/>
  <c r="G439" i="3"/>
  <c r="H439" i="3"/>
  <c r="I439" i="3"/>
  <c r="D440" i="3"/>
  <c r="E440" i="3"/>
  <c r="D441" i="3"/>
  <c r="E441" i="3"/>
  <c r="G441" i="3"/>
  <c r="D442" i="3"/>
  <c r="E442" i="3"/>
  <c r="F442" i="3"/>
  <c r="D443" i="3"/>
  <c r="E443" i="3"/>
  <c r="D444" i="3"/>
  <c r="E444" i="3"/>
  <c r="F444" i="3"/>
  <c r="D445" i="3"/>
  <c r="E445" i="3"/>
  <c r="F445" i="3"/>
  <c r="G445" i="3"/>
  <c r="D446" i="3"/>
  <c r="E446" i="3"/>
  <c r="D447" i="3"/>
  <c r="E447" i="3"/>
  <c r="F447" i="3"/>
  <c r="D448" i="3"/>
  <c r="E448" i="3"/>
  <c r="D449" i="3"/>
  <c r="E449" i="3"/>
  <c r="F449" i="3"/>
  <c r="G449" i="3"/>
  <c r="D450" i="3"/>
  <c r="E450" i="3"/>
  <c r="F450" i="3"/>
  <c r="D451" i="3"/>
  <c r="E451" i="3"/>
  <c r="F451" i="3"/>
  <c r="G451" i="3"/>
  <c r="H451" i="3"/>
  <c r="I451" i="3"/>
  <c r="D452" i="3"/>
  <c r="E452" i="3"/>
  <c r="F452" i="3"/>
  <c r="G452" i="3"/>
  <c r="H452" i="3"/>
  <c r="D453" i="3"/>
  <c r="E453" i="3"/>
  <c r="D454" i="3"/>
  <c r="E454" i="3"/>
  <c r="F454" i="3"/>
  <c r="D455" i="3"/>
  <c r="E455" i="3"/>
  <c r="D456" i="3"/>
  <c r="E456" i="3"/>
  <c r="D457" i="3"/>
  <c r="E457" i="3"/>
  <c r="F457" i="3"/>
  <c r="G457" i="3"/>
  <c r="H457" i="3"/>
  <c r="I457" i="3"/>
  <c r="J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F465" i="3"/>
  <c r="G465" i="3"/>
  <c r="H465" i="3"/>
  <c r="I465" i="3"/>
  <c r="D466" i="3"/>
  <c r="E466" i="3"/>
  <c r="D467" i="3"/>
  <c r="E467" i="3"/>
  <c r="D468" i="3"/>
  <c r="E468" i="3"/>
  <c r="D469" i="3"/>
  <c r="E469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S470" i="3"/>
  <c r="T470" i="3"/>
  <c r="R471" i="3"/>
  <c r="K1" i="2"/>
  <c r="A1" i="8"/>
  <c r="B1" i="8"/>
  <c r="A3" i="8"/>
  <c r="D13" i="8"/>
  <c r="D15" i="8"/>
  <c r="F15" i="8"/>
  <c r="F16" i="8"/>
  <c r="D17" i="8"/>
  <c r="F17" i="8"/>
  <c r="D18" i="8"/>
  <c r="F18" i="8"/>
  <c r="D19" i="8"/>
  <c r="F19" i="8"/>
  <c r="D25" i="8"/>
  <c r="F25" i="8"/>
  <c r="D26" i="8"/>
  <c r="F26" i="8"/>
  <c r="D27" i="8"/>
  <c r="F27" i="8"/>
  <c r="H27" i="8"/>
  <c r="D28" i="8"/>
  <c r="F28" i="8"/>
  <c r="H28" i="8"/>
  <c r="D29" i="8"/>
  <c r="F29" i="8"/>
  <c r="H29" i="8"/>
  <c r="S35" i="8" s="1"/>
  <c r="J29" i="8"/>
  <c r="L29" i="8"/>
  <c r="D33" i="8"/>
  <c r="C18" i="13" s="1"/>
  <c r="F33" i="8"/>
  <c r="D18" i="13" s="1"/>
  <c r="S33" i="8"/>
  <c r="S34" i="8"/>
  <c r="D38" i="8"/>
  <c r="H38" i="8"/>
  <c r="J38" i="8"/>
  <c r="L38" i="8"/>
  <c r="D40" i="8"/>
  <c r="F40" i="8"/>
  <c r="H40" i="8"/>
  <c r="J40" i="8"/>
  <c r="L40" i="8"/>
  <c r="A42" i="8"/>
  <c r="E11" i="6"/>
  <c r="B42" i="6"/>
  <c r="F42" i="6"/>
  <c r="H42" i="6"/>
  <c r="H56" i="6"/>
  <c r="A1" i="7"/>
  <c r="D4" i="7"/>
  <c r="D5" i="7"/>
  <c r="G13" i="7"/>
  <c r="G15" i="7" s="1"/>
  <c r="I13" i="7"/>
  <c r="I15" i="7" s="1"/>
  <c r="K13" i="7"/>
  <c r="M13" i="7"/>
  <c r="M15" i="7" s="1"/>
  <c r="K15" i="7"/>
  <c r="G23" i="7"/>
  <c r="G25" i="7" s="1"/>
  <c r="I23" i="7"/>
  <c r="I25" i="7" s="1"/>
  <c r="K23" i="7"/>
  <c r="K25" i="7" s="1"/>
  <c r="M23" i="7"/>
  <c r="M25" i="7" s="1"/>
  <c r="G28" i="7"/>
  <c r="I28" i="7"/>
  <c r="I33" i="7" s="1"/>
  <c r="I35" i="7" s="1"/>
  <c r="K28" i="7"/>
  <c r="K33" i="7" s="1"/>
  <c r="K35" i="7" s="1"/>
  <c r="M28" i="7"/>
  <c r="G29" i="7"/>
  <c r="I29" i="7"/>
  <c r="K29" i="7"/>
  <c r="M29" i="7"/>
  <c r="G30" i="7"/>
  <c r="I30" i="7"/>
  <c r="K30" i="7"/>
  <c r="M30" i="7"/>
  <c r="G31" i="7"/>
  <c r="I31" i="7"/>
  <c r="K31" i="7"/>
  <c r="M31" i="7"/>
  <c r="G32" i="7"/>
  <c r="I32" i="7"/>
  <c r="K32" i="7"/>
  <c r="M32" i="7"/>
  <c r="G33" i="7"/>
  <c r="G35" i="7" s="1"/>
  <c r="G34" i="7"/>
  <c r="I34" i="7"/>
  <c r="K34" i="7"/>
  <c r="M34" i="7"/>
  <c r="G46" i="7"/>
  <c r="I46" i="7"/>
  <c r="K46" i="7"/>
  <c r="M46" i="7"/>
  <c r="G56" i="7"/>
  <c r="I56" i="7"/>
  <c r="K56" i="7"/>
  <c r="K58" i="7" s="1"/>
  <c r="M56" i="7"/>
  <c r="G58" i="7"/>
  <c r="I58" i="7"/>
  <c r="M58" i="7"/>
  <c r="N1" i="1"/>
  <c r="C2" i="12"/>
  <c r="D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C3" i="12"/>
  <c r="D3" i="12"/>
  <c r="C4" i="12"/>
  <c r="D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C5" i="12"/>
  <c r="D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C6" i="12"/>
  <c r="D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C7" i="12"/>
  <c r="D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C8" i="12"/>
  <c r="D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C9" i="12"/>
  <c r="D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C10" i="12"/>
  <c r="D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C11" i="12"/>
  <c r="D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C12" i="12"/>
  <c r="D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C13" i="12"/>
  <c r="D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C14" i="12"/>
  <c r="D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C15" i="12"/>
  <c r="D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C16" i="12"/>
  <c r="D16" i="12"/>
  <c r="C17" i="12"/>
  <c r="D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C18" i="12"/>
  <c r="D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C19" i="12"/>
  <c r="D19" i="12"/>
  <c r="C20" i="12"/>
  <c r="D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C21" i="12"/>
  <c r="D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C22" i="12"/>
  <c r="D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C23" i="12"/>
  <c r="D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C24" i="12"/>
  <c r="D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C25" i="12"/>
  <c r="D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C26" i="12"/>
  <c r="D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C27" i="12"/>
  <c r="D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C28" i="12"/>
  <c r="D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C29" i="12"/>
  <c r="D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C30" i="12"/>
  <c r="D30" i="12"/>
  <c r="C31" i="12"/>
  <c r="D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C32" i="12"/>
  <c r="D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C33" i="12"/>
  <c r="D33" i="12"/>
  <c r="C34" i="12"/>
  <c r="D34" i="12"/>
  <c r="C35" i="12"/>
  <c r="D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C36" i="12"/>
  <c r="D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C37" i="12"/>
  <c r="D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C38" i="12"/>
  <c r="D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C39" i="12"/>
  <c r="D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C40" i="12"/>
  <c r="D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C43" i="12"/>
  <c r="D43" i="12"/>
  <c r="G43" i="12"/>
  <c r="H43" i="12"/>
  <c r="I43" i="12"/>
  <c r="C44" i="12"/>
  <c r="D44" i="12"/>
  <c r="G44" i="12"/>
  <c r="H44" i="12"/>
  <c r="I44" i="12"/>
  <c r="C45" i="12"/>
  <c r="D45" i="12"/>
  <c r="C46" i="12"/>
  <c r="D46" i="12"/>
  <c r="G46" i="12"/>
  <c r="H46" i="12"/>
  <c r="I46" i="12"/>
  <c r="C47" i="12"/>
  <c r="D47" i="12"/>
  <c r="G47" i="12"/>
  <c r="H47" i="12"/>
  <c r="I47" i="12"/>
  <c r="C48" i="12"/>
  <c r="D48" i="12"/>
  <c r="C49" i="12"/>
  <c r="D49" i="12"/>
  <c r="G49" i="12"/>
  <c r="H49" i="12"/>
  <c r="I49" i="12"/>
  <c r="C50" i="12"/>
  <c r="D50" i="12"/>
  <c r="G50" i="12"/>
  <c r="H50" i="12"/>
  <c r="I50" i="12"/>
  <c r="C51" i="12"/>
  <c r="D51" i="12"/>
  <c r="G51" i="12"/>
  <c r="H51" i="12"/>
  <c r="I51" i="12"/>
  <c r="C52" i="12"/>
  <c r="D52" i="12"/>
  <c r="G52" i="12"/>
  <c r="H52" i="12"/>
  <c r="I52" i="12"/>
  <c r="C53" i="12"/>
  <c r="D53" i="12"/>
  <c r="G53" i="12"/>
  <c r="H53" i="12"/>
  <c r="I53" i="12"/>
  <c r="C54" i="12"/>
  <c r="D54" i="12"/>
  <c r="G54" i="12"/>
  <c r="H54" i="12"/>
  <c r="I54" i="12"/>
  <c r="C55" i="12"/>
  <c r="D55" i="12"/>
  <c r="G55" i="12"/>
  <c r="H55" i="12"/>
  <c r="I55" i="12"/>
  <c r="C56" i="12"/>
  <c r="D56" i="12"/>
  <c r="G56" i="12"/>
  <c r="H56" i="12"/>
  <c r="I56" i="12"/>
  <c r="C57" i="12"/>
  <c r="D57" i="12"/>
  <c r="G57" i="12"/>
  <c r="H57" i="12"/>
  <c r="I57" i="12"/>
  <c r="C58" i="12"/>
  <c r="D58" i="12"/>
  <c r="G58" i="12"/>
  <c r="H58" i="12"/>
  <c r="I58" i="12"/>
  <c r="C59" i="12"/>
  <c r="D59" i="12"/>
  <c r="G59" i="12"/>
  <c r="H59" i="12"/>
  <c r="I59" i="12"/>
  <c r="C60" i="12"/>
  <c r="D60" i="12"/>
  <c r="C61" i="12"/>
  <c r="D61" i="12"/>
  <c r="G61" i="12"/>
  <c r="H61" i="12"/>
  <c r="I61" i="12"/>
  <c r="C62" i="12"/>
  <c r="D62" i="12"/>
  <c r="G62" i="12"/>
  <c r="H62" i="12"/>
  <c r="I62" i="12"/>
  <c r="C63" i="12"/>
  <c r="D63" i="12"/>
  <c r="C64" i="12"/>
  <c r="D64" i="12"/>
  <c r="C65" i="12"/>
  <c r="D65" i="12"/>
  <c r="G65" i="12"/>
  <c r="H65" i="12"/>
  <c r="I65" i="12"/>
  <c r="C66" i="12"/>
  <c r="D66" i="12"/>
  <c r="G66" i="12"/>
  <c r="H66" i="12"/>
  <c r="I66" i="12"/>
  <c r="C67" i="12"/>
  <c r="D67" i="12"/>
  <c r="G67" i="12"/>
  <c r="H67" i="12"/>
  <c r="I67" i="12"/>
  <c r="C68" i="12"/>
  <c r="D68" i="12"/>
  <c r="H68" i="12"/>
  <c r="I68" i="12"/>
  <c r="C69" i="12"/>
  <c r="D69" i="12"/>
  <c r="G69" i="12"/>
  <c r="H69" i="12"/>
  <c r="I69" i="12"/>
  <c r="C70" i="12"/>
  <c r="D70" i="12"/>
  <c r="G70" i="12"/>
  <c r="H70" i="12"/>
  <c r="I70" i="12"/>
  <c r="C71" i="12"/>
  <c r="D71" i="12"/>
  <c r="C72" i="12"/>
  <c r="D72" i="12"/>
  <c r="G72" i="12"/>
  <c r="H72" i="12"/>
  <c r="I72" i="12"/>
  <c r="C73" i="12"/>
  <c r="D73" i="12"/>
  <c r="G73" i="12"/>
  <c r="H73" i="12"/>
  <c r="I73" i="12"/>
  <c r="C74" i="12"/>
  <c r="D74" i="12"/>
  <c r="C75" i="12"/>
  <c r="D75" i="12"/>
  <c r="C76" i="12"/>
  <c r="D76" i="12"/>
  <c r="G76" i="12"/>
  <c r="H76" i="12"/>
  <c r="I76" i="12"/>
  <c r="C77" i="12"/>
  <c r="D77" i="12"/>
  <c r="H77" i="12"/>
  <c r="I77" i="12"/>
  <c r="C78" i="12"/>
  <c r="D78" i="12"/>
  <c r="G78" i="12"/>
  <c r="H78" i="12"/>
  <c r="I78" i="12"/>
  <c r="C79" i="12"/>
  <c r="D79" i="12"/>
  <c r="G79" i="12"/>
  <c r="H79" i="12"/>
  <c r="I79" i="12"/>
  <c r="C80" i="12"/>
  <c r="D80" i="12"/>
  <c r="G80" i="12"/>
  <c r="H80" i="12"/>
  <c r="I80" i="12"/>
  <c r="C81" i="12"/>
  <c r="D81" i="12"/>
  <c r="G81" i="12"/>
  <c r="H81" i="12"/>
  <c r="I81" i="12"/>
  <c r="A2" i="19"/>
  <c r="B2" i="19"/>
  <c r="C2" i="19"/>
  <c r="D2" i="19"/>
  <c r="A3" i="19"/>
  <c r="B3" i="19"/>
  <c r="C3" i="19"/>
  <c r="D3" i="19"/>
  <c r="A4" i="19"/>
  <c r="B4" i="19"/>
  <c r="C4" i="19"/>
  <c r="D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A6" i="19"/>
  <c r="B6" i="19"/>
  <c r="C6" i="19"/>
  <c r="D6" i="19"/>
  <c r="F6" i="19"/>
  <c r="G6" i="19"/>
  <c r="H6" i="19"/>
  <c r="J6" i="19"/>
  <c r="K6" i="19"/>
  <c r="L6" i="19"/>
  <c r="N6" i="19"/>
  <c r="O6" i="19"/>
  <c r="P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A8" i="19"/>
  <c r="B8" i="19"/>
  <c r="C8" i="19"/>
  <c r="D8" i="19"/>
  <c r="F8" i="19"/>
  <c r="G8" i="19"/>
  <c r="H8" i="19"/>
  <c r="I8" i="19"/>
  <c r="J8" i="19"/>
  <c r="K8" i="19"/>
  <c r="L8" i="19"/>
  <c r="M8" i="19"/>
  <c r="N8" i="19"/>
  <c r="O8" i="19"/>
  <c r="P8" i="19"/>
  <c r="A9" i="19"/>
  <c r="B9" i="19"/>
  <c r="C9" i="19"/>
  <c r="D9" i="19"/>
  <c r="E9" i="19"/>
  <c r="G9" i="19"/>
  <c r="H9" i="19"/>
  <c r="I9" i="19"/>
  <c r="J9" i="19"/>
  <c r="K9" i="19"/>
  <c r="L9" i="19"/>
  <c r="M9" i="19"/>
  <c r="O9" i="19"/>
  <c r="P9" i="19"/>
  <c r="A10" i="19"/>
  <c r="B10" i="19"/>
  <c r="C10" i="19"/>
  <c r="D10" i="19"/>
  <c r="E10" i="19"/>
  <c r="F10" i="19"/>
  <c r="H10" i="19"/>
  <c r="I10" i="19"/>
  <c r="J10" i="19"/>
  <c r="K10" i="19"/>
  <c r="L10" i="19"/>
  <c r="M10" i="19"/>
  <c r="N10" i="19"/>
  <c r="P10" i="19"/>
  <c r="A11" i="19"/>
  <c r="B11" i="19"/>
  <c r="C11" i="19"/>
  <c r="D11" i="19"/>
  <c r="E11" i="19"/>
  <c r="F11" i="19"/>
  <c r="G11" i="19"/>
  <c r="H11" i="19"/>
  <c r="I11" i="19"/>
  <c r="K11" i="19"/>
  <c r="L11" i="19"/>
  <c r="M11" i="19"/>
  <c r="N11" i="19"/>
  <c r="O11" i="19"/>
  <c r="P11" i="19"/>
  <c r="A12" i="19"/>
  <c r="B12" i="19"/>
  <c r="C12" i="19"/>
  <c r="D12" i="19"/>
  <c r="E12" i="19"/>
  <c r="F12" i="19"/>
  <c r="G12" i="19"/>
  <c r="H12" i="19"/>
  <c r="I12" i="19"/>
  <c r="K12" i="19"/>
  <c r="L12" i="19"/>
  <c r="M12" i="19"/>
  <c r="N12" i="19"/>
  <c r="O12" i="19"/>
  <c r="P12" i="19"/>
  <c r="A13" i="19"/>
  <c r="B13" i="19"/>
  <c r="C13" i="19"/>
  <c r="D13" i="19"/>
  <c r="F13" i="19"/>
  <c r="G13" i="19"/>
  <c r="H13" i="19"/>
  <c r="I13" i="19"/>
  <c r="J13" i="19"/>
  <c r="K13" i="19"/>
  <c r="L13" i="19"/>
  <c r="N13" i="19"/>
  <c r="O13" i="19"/>
  <c r="P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A15" i="19"/>
  <c r="B15" i="19"/>
  <c r="C15" i="19"/>
  <c r="D15" i="19"/>
  <c r="F15" i="19"/>
  <c r="G15" i="19"/>
  <c r="H15" i="19"/>
  <c r="I15" i="19"/>
  <c r="J15" i="19"/>
  <c r="K15" i="19"/>
  <c r="L15" i="19"/>
  <c r="N15" i="19"/>
  <c r="O15" i="19"/>
  <c r="P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A18" i="19"/>
  <c r="B18" i="19"/>
  <c r="C18" i="19"/>
  <c r="D18" i="19"/>
  <c r="E18" i="19"/>
  <c r="F18" i="19"/>
  <c r="G18" i="19"/>
  <c r="H18" i="19"/>
  <c r="I18" i="19"/>
  <c r="J18" i="19"/>
  <c r="K18" i="19"/>
  <c r="M18" i="19"/>
  <c r="N18" i="19"/>
  <c r="O18" i="19"/>
  <c r="P18" i="19"/>
  <c r="A19" i="19"/>
  <c r="B19" i="19"/>
  <c r="C19" i="19"/>
  <c r="D19" i="19"/>
  <c r="E19" i="19"/>
  <c r="F19" i="19"/>
  <c r="G19" i="19"/>
  <c r="H19" i="19"/>
  <c r="J19" i="19"/>
  <c r="K19" i="19"/>
  <c r="L19" i="19"/>
  <c r="M19" i="19"/>
  <c r="N19" i="19"/>
  <c r="O19" i="19"/>
  <c r="P19" i="19"/>
  <c r="A20" i="19"/>
  <c r="B20" i="19"/>
  <c r="C20" i="19"/>
  <c r="D20" i="19"/>
  <c r="E20" i="19"/>
  <c r="F20" i="19"/>
  <c r="G20" i="19"/>
  <c r="H20" i="19"/>
  <c r="I20" i="19"/>
  <c r="J20" i="19"/>
  <c r="K20" i="19"/>
  <c r="M20" i="19"/>
  <c r="N20" i="19"/>
  <c r="O20" i="19"/>
  <c r="P20" i="19"/>
  <c r="A21" i="19"/>
  <c r="B21" i="19"/>
  <c r="C21" i="19"/>
  <c r="D21" i="19"/>
  <c r="E21" i="19"/>
  <c r="F21" i="19"/>
  <c r="G21" i="19"/>
  <c r="H21" i="19"/>
  <c r="I21" i="19"/>
  <c r="K21" i="19"/>
  <c r="L21" i="19"/>
  <c r="M21" i="19"/>
  <c r="N21" i="19"/>
  <c r="O21" i="19"/>
  <c r="P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A25" i="19"/>
  <c r="B25" i="19"/>
  <c r="C25" i="19"/>
  <c r="D25" i="19"/>
  <c r="E25" i="19"/>
  <c r="F25" i="19"/>
  <c r="H25" i="19"/>
  <c r="I25" i="19"/>
  <c r="J25" i="19"/>
  <c r="K25" i="19"/>
  <c r="L25" i="19"/>
  <c r="M25" i="19"/>
  <c r="N25" i="19"/>
  <c r="P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A27" i="19"/>
  <c r="B27" i="19"/>
  <c r="C27" i="19"/>
  <c r="D27" i="19"/>
  <c r="E27" i="19"/>
  <c r="F27" i="19"/>
  <c r="G27" i="19"/>
  <c r="I27" i="19"/>
  <c r="J27" i="19"/>
  <c r="K27" i="19"/>
  <c r="L27" i="19"/>
  <c r="M27" i="19"/>
  <c r="N27" i="19"/>
  <c r="O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A31" i="19"/>
  <c r="B31" i="19"/>
  <c r="C31" i="19"/>
  <c r="D31" i="19"/>
  <c r="F31" i="19"/>
  <c r="G31" i="19"/>
  <c r="H31" i="19"/>
  <c r="I31" i="19"/>
  <c r="J31" i="19"/>
  <c r="K31" i="19"/>
  <c r="L31" i="19"/>
  <c r="N31" i="19"/>
  <c r="O31" i="19"/>
  <c r="P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A33" i="19"/>
  <c r="B33" i="19"/>
  <c r="C33" i="19"/>
  <c r="D33" i="19"/>
  <c r="F33" i="19"/>
  <c r="G33" i="19"/>
  <c r="H33" i="19"/>
  <c r="I33" i="19"/>
  <c r="J33" i="19"/>
  <c r="K33" i="19"/>
  <c r="L33" i="19"/>
  <c r="N33" i="19"/>
  <c r="O33" i="19"/>
  <c r="P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A39" i="19"/>
  <c r="B39" i="19"/>
  <c r="C39" i="19"/>
  <c r="D39" i="19"/>
  <c r="F39" i="19"/>
  <c r="G39" i="19"/>
  <c r="H39" i="19"/>
  <c r="J39" i="19"/>
  <c r="K39" i="19"/>
  <c r="L39" i="19"/>
  <c r="M39" i="19"/>
  <c r="N39" i="19"/>
  <c r="O39" i="19"/>
  <c r="P39" i="19"/>
  <c r="A40" i="19"/>
  <c r="B40" i="19"/>
  <c r="C40" i="19"/>
  <c r="D40" i="19"/>
  <c r="F40" i="19"/>
  <c r="G40" i="19"/>
  <c r="H40" i="19"/>
  <c r="I40" i="19"/>
  <c r="J40" i="19"/>
  <c r="K40" i="19"/>
  <c r="L40" i="19"/>
  <c r="N40" i="19"/>
  <c r="O40" i="19"/>
  <c r="P40" i="19"/>
  <c r="A41" i="19"/>
  <c r="B41" i="19"/>
  <c r="C41" i="19"/>
  <c r="D41" i="19"/>
  <c r="E41" i="19"/>
  <c r="F41" i="19"/>
  <c r="G41" i="19"/>
  <c r="H41" i="19"/>
  <c r="J41" i="19"/>
  <c r="K41" i="19"/>
  <c r="L41" i="19"/>
  <c r="M41" i="19"/>
  <c r="N41" i="19"/>
  <c r="O41" i="19"/>
  <c r="P41" i="19"/>
  <c r="A42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A43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A44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A45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A46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A47" i="19"/>
  <c r="B47" i="19"/>
  <c r="C47" i="19"/>
  <c r="D47" i="19"/>
  <c r="E47" i="19"/>
  <c r="F47" i="19"/>
  <c r="H47" i="19"/>
  <c r="I47" i="19"/>
  <c r="J47" i="19"/>
  <c r="K47" i="19"/>
  <c r="L47" i="19"/>
  <c r="M47" i="19"/>
  <c r="N47" i="19"/>
  <c r="P47" i="19"/>
  <c r="A48" i="19"/>
  <c r="B48" i="19"/>
  <c r="C48" i="19"/>
  <c r="D48" i="19"/>
  <c r="E48" i="19"/>
  <c r="F48" i="19"/>
  <c r="G48" i="19"/>
  <c r="I48" i="19"/>
  <c r="K48" i="19"/>
  <c r="L48" i="19"/>
  <c r="M48" i="19"/>
  <c r="N48" i="19"/>
  <c r="O48" i="19"/>
  <c r="A49" i="19"/>
  <c r="B49" i="19"/>
  <c r="C49" i="19"/>
  <c r="D49" i="19"/>
  <c r="E49" i="19"/>
  <c r="F49" i="19"/>
  <c r="G49" i="19"/>
  <c r="H49" i="19"/>
  <c r="I49" i="19"/>
  <c r="K49" i="19"/>
  <c r="L49" i="19"/>
  <c r="M49" i="19"/>
  <c r="N49" i="19"/>
  <c r="O49" i="19"/>
  <c r="P49" i="19"/>
  <c r="A50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A51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A52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A53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A54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A55" i="19"/>
  <c r="B55" i="19"/>
  <c r="C55" i="19"/>
  <c r="D55" i="19"/>
  <c r="E55" i="19"/>
  <c r="F55" i="19"/>
  <c r="G55" i="19"/>
  <c r="H55" i="19"/>
  <c r="I55" i="19"/>
  <c r="K55" i="19"/>
  <c r="L55" i="19"/>
  <c r="M55" i="19"/>
  <c r="N55" i="19"/>
  <c r="O55" i="19"/>
  <c r="P55" i="19"/>
  <c r="A56" i="19"/>
  <c r="B56" i="19"/>
  <c r="C56" i="19"/>
  <c r="D56" i="19"/>
  <c r="E56" i="19"/>
  <c r="F56" i="19"/>
  <c r="H56" i="19"/>
  <c r="I56" i="19"/>
  <c r="J56" i="19"/>
  <c r="K56" i="19"/>
  <c r="L56" i="19"/>
  <c r="M56" i="19"/>
  <c r="N56" i="19"/>
  <c r="P56" i="19"/>
  <c r="A57" i="19"/>
  <c r="B57" i="19"/>
  <c r="C57" i="19"/>
  <c r="D57" i="19"/>
  <c r="F57" i="19"/>
  <c r="H57" i="19"/>
  <c r="I57" i="19"/>
  <c r="J57" i="19"/>
  <c r="K57" i="19"/>
  <c r="L57" i="19"/>
  <c r="N57" i="19"/>
  <c r="P57" i="19"/>
  <c r="A58" i="19"/>
  <c r="B58" i="19"/>
  <c r="C58" i="19"/>
  <c r="D58" i="19"/>
  <c r="E58" i="19"/>
  <c r="F58" i="19"/>
  <c r="G58" i="19"/>
  <c r="H58" i="19"/>
  <c r="I58" i="19"/>
  <c r="K58" i="19"/>
  <c r="M58" i="19"/>
  <c r="N58" i="19"/>
  <c r="O58" i="19"/>
  <c r="P58" i="19"/>
  <c r="A59" i="19"/>
  <c r="B59" i="19"/>
  <c r="C59" i="19"/>
  <c r="D59" i="19"/>
  <c r="F59" i="19"/>
  <c r="G59" i="19"/>
  <c r="H59" i="19"/>
  <c r="J59" i="19"/>
  <c r="K59" i="19"/>
  <c r="L59" i="19"/>
  <c r="N59" i="19"/>
  <c r="O59" i="19"/>
  <c r="P59" i="19"/>
  <c r="A60" i="19"/>
  <c r="B60" i="19"/>
  <c r="C60" i="19"/>
  <c r="D60" i="19"/>
  <c r="E60" i="19"/>
  <c r="G60" i="19"/>
  <c r="H60" i="19"/>
  <c r="I60" i="19"/>
  <c r="K60" i="19"/>
  <c r="M60" i="19"/>
  <c r="O60" i="19"/>
  <c r="P60" i="19"/>
  <c r="A61" i="19"/>
  <c r="B61" i="19"/>
  <c r="C61" i="19"/>
  <c r="D61" i="19"/>
  <c r="E61" i="19"/>
  <c r="F61" i="19"/>
  <c r="G61" i="19"/>
  <c r="H61" i="19"/>
  <c r="I61" i="19"/>
  <c r="J61" i="19"/>
  <c r="K61" i="19"/>
  <c r="M61" i="19"/>
  <c r="N61" i="19"/>
  <c r="O61" i="19"/>
  <c r="P61" i="19"/>
  <c r="A62" i="19"/>
  <c r="B62" i="19"/>
  <c r="C62" i="19"/>
  <c r="D62" i="19"/>
  <c r="F62" i="19"/>
  <c r="G62" i="19"/>
  <c r="H62" i="19"/>
  <c r="J62" i="19"/>
  <c r="K62" i="19"/>
  <c r="L62" i="19"/>
  <c r="N62" i="19"/>
  <c r="O62" i="19"/>
  <c r="P62" i="19"/>
  <c r="A63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A64" i="19"/>
  <c r="B64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A65" i="19"/>
  <c r="B65" i="19"/>
  <c r="C65" i="19"/>
  <c r="D65" i="19"/>
  <c r="F65" i="19"/>
  <c r="G65" i="19"/>
  <c r="H65" i="19"/>
  <c r="J65" i="19"/>
  <c r="K65" i="19"/>
  <c r="L65" i="19"/>
  <c r="N65" i="19"/>
  <c r="O65" i="19"/>
  <c r="P65" i="19"/>
  <c r="A66" i="19"/>
  <c r="B66" i="19"/>
  <c r="C66" i="19"/>
  <c r="D66" i="19"/>
  <c r="E66" i="19"/>
  <c r="F66" i="19"/>
  <c r="G66" i="19"/>
  <c r="H66" i="19"/>
  <c r="I66" i="19"/>
  <c r="K66" i="19"/>
  <c r="L66" i="19"/>
  <c r="M66" i="19"/>
  <c r="N66" i="19"/>
  <c r="O66" i="19"/>
  <c r="P66" i="19"/>
  <c r="A67" i="19"/>
  <c r="B67" i="19"/>
  <c r="C67" i="19"/>
  <c r="D67" i="19"/>
  <c r="E67" i="19"/>
  <c r="F67" i="19"/>
  <c r="G67" i="19"/>
  <c r="I67" i="19"/>
  <c r="J67" i="19"/>
  <c r="K67" i="19"/>
  <c r="L67" i="19"/>
  <c r="M67" i="19"/>
  <c r="N67" i="19"/>
  <c r="O67" i="19"/>
  <c r="A68" i="19"/>
  <c r="B68" i="19"/>
  <c r="C68" i="19"/>
  <c r="D68" i="19"/>
  <c r="F68" i="19"/>
  <c r="G68" i="19"/>
  <c r="H68" i="19"/>
  <c r="I68" i="19"/>
  <c r="J68" i="19"/>
  <c r="K68" i="19"/>
  <c r="L68" i="19"/>
  <c r="N68" i="19"/>
  <c r="O68" i="19"/>
  <c r="P68" i="19"/>
  <c r="A69" i="19"/>
  <c r="B69" i="19"/>
  <c r="C69" i="19"/>
  <c r="D69" i="19"/>
  <c r="E69" i="19"/>
  <c r="F69" i="19"/>
  <c r="G69" i="19"/>
  <c r="H69" i="19"/>
  <c r="J69" i="19"/>
  <c r="K69" i="19"/>
  <c r="L69" i="19"/>
  <c r="M69" i="19"/>
  <c r="N69" i="19"/>
  <c r="O69" i="19"/>
  <c r="P69" i="19"/>
  <c r="A70" i="19"/>
  <c r="B70" i="19"/>
  <c r="C70" i="19"/>
  <c r="D70" i="19"/>
  <c r="E70" i="19"/>
  <c r="F70" i="19"/>
  <c r="G70" i="19"/>
  <c r="I70" i="19"/>
  <c r="J70" i="19"/>
  <c r="K70" i="19"/>
  <c r="L70" i="19"/>
  <c r="M70" i="19"/>
  <c r="N70" i="19"/>
  <c r="O70" i="19"/>
  <c r="A71" i="19"/>
  <c r="B71" i="19"/>
  <c r="C71" i="19"/>
  <c r="D71" i="19"/>
  <c r="F71" i="19"/>
  <c r="G71" i="19"/>
  <c r="I71" i="19"/>
  <c r="J71" i="19"/>
  <c r="K71" i="19"/>
  <c r="L71" i="19"/>
  <c r="N71" i="19"/>
  <c r="O71" i="19"/>
  <c r="A72" i="19"/>
  <c r="B72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A73" i="19"/>
  <c r="B73" i="19"/>
  <c r="C73" i="19"/>
  <c r="D73" i="19"/>
  <c r="E73" i="19"/>
  <c r="F73" i="19"/>
  <c r="G73" i="19"/>
  <c r="H73" i="19"/>
  <c r="I73" i="19"/>
  <c r="J73" i="19"/>
  <c r="L73" i="19"/>
  <c r="M73" i="19"/>
  <c r="N73" i="19"/>
  <c r="O73" i="19"/>
  <c r="P73" i="19"/>
  <c r="A74" i="19"/>
  <c r="B74" i="19"/>
  <c r="C74" i="19"/>
  <c r="D74" i="19"/>
  <c r="F74" i="19"/>
  <c r="G74" i="19"/>
  <c r="H74" i="19"/>
  <c r="J74" i="19"/>
  <c r="K74" i="19"/>
  <c r="L74" i="19"/>
  <c r="N74" i="19"/>
  <c r="O74" i="19"/>
  <c r="P74" i="19"/>
  <c r="A75" i="19"/>
  <c r="B75" i="19"/>
  <c r="C75" i="19"/>
  <c r="D75" i="19"/>
  <c r="F75" i="19"/>
  <c r="G75" i="19"/>
  <c r="H75" i="19"/>
  <c r="I75" i="19"/>
  <c r="J75" i="19"/>
  <c r="K75" i="19"/>
  <c r="L75" i="19"/>
  <c r="O75" i="19"/>
  <c r="P75" i="19"/>
  <c r="G392" i="3" l="1"/>
  <c r="F433" i="3"/>
  <c r="E472" i="3"/>
  <c r="L374" i="3"/>
  <c r="K416" i="3"/>
  <c r="K457" i="3" s="1"/>
  <c r="K381" i="3"/>
  <c r="L339" i="3"/>
  <c r="F443" i="3"/>
  <c r="G402" i="3"/>
  <c r="J400" i="3"/>
  <c r="J441" i="3" s="1"/>
  <c r="K358" i="3"/>
  <c r="R194" i="3"/>
  <c r="H17" i="8" s="1"/>
  <c r="S26" i="8" s="1"/>
  <c r="E40" i="19"/>
  <c r="G412" i="3"/>
  <c r="F453" i="3"/>
  <c r="I406" i="3"/>
  <c r="H447" i="3"/>
  <c r="H445" i="3"/>
  <c r="I404" i="3"/>
  <c r="L386" i="3"/>
  <c r="N362" i="3"/>
  <c r="R306" i="3"/>
  <c r="H67" i="19"/>
  <c r="K365" i="3"/>
  <c r="M33" i="7"/>
  <c r="M35" i="7" s="1"/>
  <c r="F419" i="3"/>
  <c r="N372" i="3"/>
  <c r="L367" i="3"/>
  <c r="F396" i="3"/>
  <c r="F387" i="3"/>
  <c r="E65" i="19"/>
  <c r="R298" i="3"/>
  <c r="K339" i="3"/>
  <c r="J48" i="19"/>
  <c r="F425" i="3"/>
  <c r="F423" i="3"/>
  <c r="F421" i="3"/>
  <c r="P375" i="3"/>
  <c r="R318" i="3"/>
  <c r="R310" i="3"/>
  <c r="E68" i="19"/>
  <c r="R142" i="3"/>
  <c r="T142" i="3"/>
  <c r="L19" i="8"/>
  <c r="H70" i="19"/>
  <c r="J55" i="19"/>
  <c r="J12" i="19"/>
  <c r="F428" i="3"/>
  <c r="N376" i="3"/>
  <c r="M363" i="3"/>
  <c r="K361" i="3"/>
  <c r="J403" i="3"/>
  <c r="J444" i="3" s="1"/>
  <c r="M353" i="3"/>
  <c r="L395" i="3"/>
  <c r="L436" i="3" s="1"/>
  <c r="H391" i="3"/>
  <c r="G432" i="3"/>
  <c r="L382" i="3"/>
  <c r="K424" i="3"/>
  <c r="K465" i="3" s="1"/>
  <c r="M380" i="3"/>
  <c r="L378" i="3"/>
  <c r="N366" i="3"/>
  <c r="M364" i="3"/>
  <c r="K357" i="3"/>
  <c r="L349" i="3"/>
  <c r="R338" i="3"/>
  <c r="E75" i="19"/>
  <c r="T193" i="3"/>
  <c r="T194" i="3" s="1"/>
  <c r="S194" i="3"/>
  <c r="R470" i="3"/>
  <c r="G436" i="3"/>
  <c r="H22" i="3"/>
  <c r="H25" i="3" s="1"/>
  <c r="H35" i="3" s="1"/>
  <c r="H43" i="3"/>
  <c r="G4" i="19" s="1"/>
  <c r="L385" i="3"/>
  <c r="F414" i="3"/>
  <c r="K368" i="3"/>
  <c r="J410" i="3"/>
  <c r="J451" i="3" s="1"/>
  <c r="K359" i="3"/>
  <c r="R302" i="3"/>
  <c r="R102" i="3"/>
  <c r="G77" i="12"/>
  <c r="F407" i="3"/>
  <c r="R384" i="3"/>
  <c r="S384" i="3" s="1"/>
  <c r="F426" i="3"/>
  <c r="F422" i="3"/>
  <c r="F420" i="3"/>
  <c r="M360" i="3"/>
  <c r="K355" i="3"/>
  <c r="K387" i="3" s="1"/>
  <c r="S226" i="3"/>
  <c r="T224" i="3"/>
  <c r="T226" i="3" s="1"/>
  <c r="N212" i="3"/>
  <c r="M13" i="19"/>
  <c r="R86" i="3"/>
  <c r="E13" i="19"/>
  <c r="O212" i="3"/>
  <c r="G212" i="3"/>
  <c r="R82" i="3"/>
  <c r="E57" i="19"/>
  <c r="R266" i="3"/>
  <c r="Q339" i="3"/>
  <c r="I339" i="3"/>
  <c r="T230" i="3"/>
  <c r="R114" i="3"/>
  <c r="T109" i="3"/>
  <c r="S110" i="3"/>
  <c r="J18" i="8" s="1"/>
  <c r="Q212" i="3"/>
  <c r="I212" i="3"/>
  <c r="J19" i="8"/>
  <c r="R66" i="3"/>
  <c r="H27" i="19"/>
  <c r="F427" i="3"/>
  <c r="F418" i="3"/>
  <c r="K373" i="3"/>
  <c r="K371" i="3"/>
  <c r="L398" i="3"/>
  <c r="L439" i="3" s="1"/>
  <c r="M356" i="3"/>
  <c r="R282" i="3"/>
  <c r="P339" i="3"/>
  <c r="H339" i="3"/>
  <c r="T217" i="3"/>
  <c r="L28" i="8" s="1"/>
  <c r="J28" i="8"/>
  <c r="T120" i="3"/>
  <c r="T122" i="3" s="1"/>
  <c r="S122" i="3"/>
  <c r="M212" i="3"/>
  <c r="R70" i="3"/>
  <c r="G10" i="19"/>
  <c r="G444" i="3"/>
  <c r="H449" i="3"/>
  <c r="I408" i="3"/>
  <c r="F431" i="3"/>
  <c r="G390" i="3"/>
  <c r="L383" i="3"/>
  <c r="L379" i="3"/>
  <c r="K377" i="3"/>
  <c r="F456" i="3"/>
  <c r="G415" i="3"/>
  <c r="K398" i="3"/>
  <c r="K439" i="3" s="1"/>
  <c r="K354" i="3"/>
  <c r="J387" i="3"/>
  <c r="R326" i="3"/>
  <c r="T320" i="3"/>
  <c r="T322" i="3" s="1"/>
  <c r="S322" i="3"/>
  <c r="R294" i="3"/>
  <c r="R270" i="3"/>
  <c r="O339" i="3"/>
  <c r="G339" i="3"/>
  <c r="O76" i="3"/>
  <c r="G76" i="3"/>
  <c r="H413" i="3"/>
  <c r="G454" i="3"/>
  <c r="I400" i="3"/>
  <c r="I441" i="3" s="1"/>
  <c r="H441" i="3"/>
  <c r="N348" i="3"/>
  <c r="T336" i="3"/>
  <c r="T338" i="3" s="1"/>
  <c r="S338" i="3"/>
  <c r="R166" i="3"/>
  <c r="R158" i="3"/>
  <c r="R134" i="3"/>
  <c r="R62" i="3"/>
  <c r="E31" i="19"/>
  <c r="E8" i="19"/>
  <c r="H401" i="3"/>
  <c r="G442" i="3"/>
  <c r="F440" i="3"/>
  <c r="G399" i="3"/>
  <c r="I43" i="3"/>
  <c r="H4" i="19" s="1"/>
  <c r="I22" i="3"/>
  <c r="I25" i="3" s="1"/>
  <c r="I35" i="3" s="1"/>
  <c r="F417" i="3"/>
  <c r="M370" i="3"/>
  <c r="L351" i="3"/>
  <c r="R330" i="3"/>
  <c r="T326" i="3"/>
  <c r="F339" i="3"/>
  <c r="R246" i="3"/>
  <c r="R170" i="3"/>
  <c r="S118" i="3"/>
  <c r="T116" i="3"/>
  <c r="T118" i="3" s="1"/>
  <c r="T102" i="3"/>
  <c r="T97" i="3"/>
  <c r="T98" i="3" s="1"/>
  <c r="S98" i="3"/>
  <c r="S58" i="3"/>
  <c r="T56" i="3"/>
  <c r="T58" i="3" s="1"/>
  <c r="Q76" i="3"/>
  <c r="I76" i="3"/>
  <c r="T141" i="3"/>
  <c r="S142" i="3"/>
  <c r="T110" i="3"/>
  <c r="L18" i="8" s="1"/>
  <c r="R32" i="3"/>
  <c r="K34" i="3"/>
  <c r="L411" i="3"/>
  <c r="F405" i="3"/>
  <c r="G393" i="3"/>
  <c r="F434" i="3"/>
  <c r="T316" i="3"/>
  <c r="T318" i="3" s="1"/>
  <c r="S318" i="3"/>
  <c r="R262" i="3"/>
  <c r="R250" i="3"/>
  <c r="M339" i="3"/>
  <c r="T196" i="3"/>
  <c r="T198" i="3" s="1"/>
  <c r="S198" i="3"/>
  <c r="S134" i="3"/>
  <c r="J16" i="8" s="1"/>
  <c r="T132" i="3"/>
  <c r="T134" i="3" s="1"/>
  <c r="H76" i="3"/>
  <c r="M76" i="3"/>
  <c r="E76" i="3"/>
  <c r="F13" i="8" s="1"/>
  <c r="D12" i="8"/>
  <c r="D23" i="8" s="1"/>
  <c r="D31" i="8" s="1"/>
  <c r="H409" i="3"/>
  <c r="G450" i="3"/>
  <c r="H397" i="3"/>
  <c r="G438" i="3"/>
  <c r="O369" i="3"/>
  <c r="R322" i="3"/>
  <c r="D339" i="3"/>
  <c r="D21" i="8" s="1"/>
  <c r="R234" i="3"/>
  <c r="E212" i="3"/>
  <c r="F20" i="8" s="1"/>
  <c r="R94" i="3"/>
  <c r="R74" i="3"/>
  <c r="K76" i="3"/>
  <c r="R254" i="3"/>
  <c r="R186" i="3"/>
  <c r="R174" i="3"/>
  <c r="R146" i="3"/>
  <c r="T112" i="3"/>
  <c r="T114" i="3" s="1"/>
  <c r="S114" i="3"/>
  <c r="R98" i="3"/>
  <c r="P212" i="3"/>
  <c r="H212" i="3"/>
  <c r="J212" i="3"/>
  <c r="T69" i="3"/>
  <c r="T70" i="3" s="1"/>
  <c r="S70" i="3"/>
  <c r="K350" i="3"/>
  <c r="S326" i="3"/>
  <c r="S314" i="3"/>
  <c r="R238" i="3"/>
  <c r="J339" i="3"/>
  <c r="R150" i="3"/>
  <c r="S150" i="3"/>
  <c r="R130" i="3"/>
  <c r="T18" i="3"/>
  <c r="K352" i="3"/>
  <c r="R206" i="3"/>
  <c r="R178" i="3"/>
  <c r="R162" i="3"/>
  <c r="T144" i="3"/>
  <c r="T146" i="3" s="1"/>
  <c r="S146" i="3"/>
  <c r="R138" i="3"/>
  <c r="D212" i="3"/>
  <c r="D20" i="8" s="1"/>
  <c r="T61" i="3"/>
  <c r="T62" i="3" s="1"/>
  <c r="S62" i="3"/>
  <c r="G43" i="3"/>
  <c r="F4" i="19" s="1"/>
  <c r="G22" i="3"/>
  <c r="G25" i="3" s="1"/>
  <c r="T332" i="3"/>
  <c r="T334" i="3" s="1"/>
  <c r="S334" i="3"/>
  <c r="R230" i="3"/>
  <c r="R219" i="3"/>
  <c r="S216" i="3"/>
  <c r="R188" i="3"/>
  <c r="S188" i="3" s="1"/>
  <c r="F190" i="3"/>
  <c r="R122" i="3"/>
  <c r="R106" i="3"/>
  <c r="T93" i="3"/>
  <c r="T94" i="3" s="1"/>
  <c r="S94" i="3"/>
  <c r="N76" i="3"/>
  <c r="R50" i="3"/>
  <c r="R290" i="3"/>
  <c r="R278" i="3"/>
  <c r="N339" i="3"/>
  <c r="R226" i="3"/>
  <c r="R339" i="3" s="1"/>
  <c r="H21" i="8" s="1"/>
  <c r="S30" i="8" s="1"/>
  <c r="S202" i="3"/>
  <c r="T130" i="3"/>
  <c r="R118" i="3"/>
  <c r="S102" i="3"/>
  <c r="G35" i="3"/>
  <c r="T138" i="3"/>
  <c r="R90" i="3"/>
  <c r="R58" i="3"/>
  <c r="T53" i="3"/>
  <c r="T54" i="3" s="1"/>
  <c r="T76" i="3" s="1"/>
  <c r="L13" i="8" s="1"/>
  <c r="S54" i="3"/>
  <c r="S76" i="3" s="1"/>
  <c r="J13" i="8" s="1"/>
  <c r="S18" i="3"/>
  <c r="T66" i="3"/>
  <c r="E35" i="3"/>
  <c r="K22" i="3" l="1"/>
  <c r="K25" i="3" s="1"/>
  <c r="K43" i="3"/>
  <c r="J4" i="19" s="1"/>
  <c r="T212" i="3"/>
  <c r="F469" i="3"/>
  <c r="G428" i="3"/>
  <c r="N356" i="3"/>
  <c r="M398" i="3"/>
  <c r="M439" i="3" s="1"/>
  <c r="G418" i="3"/>
  <c r="F459" i="3"/>
  <c r="N360" i="3"/>
  <c r="G407" i="3"/>
  <c r="F448" i="3"/>
  <c r="L359" i="3"/>
  <c r="L424" i="3"/>
  <c r="L465" i="3" s="1"/>
  <c r="M382" i="3"/>
  <c r="L361" i="3"/>
  <c r="K403" i="3"/>
  <c r="K444" i="3" s="1"/>
  <c r="G421" i="3"/>
  <c r="F462" i="3"/>
  <c r="O372" i="3"/>
  <c r="L352" i="3"/>
  <c r="K394" i="3"/>
  <c r="K435" i="3" s="1"/>
  <c r="H399" i="3"/>
  <c r="G440" i="3"/>
  <c r="L377" i="3"/>
  <c r="G420" i="3"/>
  <c r="F461" i="3"/>
  <c r="M349" i="3"/>
  <c r="I391" i="3"/>
  <c r="H432" i="3"/>
  <c r="G423" i="3"/>
  <c r="F464" i="3"/>
  <c r="L416" i="3"/>
  <c r="L457" i="3" s="1"/>
  <c r="M374" i="3"/>
  <c r="T339" i="3"/>
  <c r="L21" i="8" s="1"/>
  <c r="G396" i="3"/>
  <c r="F437" i="3"/>
  <c r="M386" i="3"/>
  <c r="H412" i="3"/>
  <c r="G453" i="3"/>
  <c r="R76" i="3"/>
  <c r="H13" i="8" s="1"/>
  <c r="S23" i="8" s="1"/>
  <c r="T188" i="3"/>
  <c r="T190" i="3" s="1"/>
  <c r="L15" i="8" s="1"/>
  <c r="S190" i="3"/>
  <c r="J15" i="8" s="1"/>
  <c r="R34" i="3"/>
  <c r="K35" i="3"/>
  <c r="L354" i="3"/>
  <c r="M379" i="3"/>
  <c r="H19" i="8"/>
  <c r="S29" i="8" s="1"/>
  <c r="S339" i="3"/>
  <c r="J21" i="8" s="1"/>
  <c r="G422" i="3"/>
  <c r="F463" i="3"/>
  <c r="F455" i="3"/>
  <c r="G414" i="3"/>
  <c r="M378" i="3"/>
  <c r="G425" i="3"/>
  <c r="F466" i="3"/>
  <c r="I409" i="3"/>
  <c r="H450" i="3"/>
  <c r="I413" i="3"/>
  <c r="H454" i="3"/>
  <c r="T384" i="3"/>
  <c r="T467" i="3" s="1"/>
  <c r="S467" i="3"/>
  <c r="P369" i="3"/>
  <c r="H415" i="3"/>
  <c r="G456" i="3"/>
  <c r="G405" i="3"/>
  <c r="F446" i="3"/>
  <c r="F472" i="3" s="1"/>
  <c r="F39" i="3" s="1"/>
  <c r="E3" i="19" s="1"/>
  <c r="M351" i="3"/>
  <c r="G431" i="3"/>
  <c r="H390" i="3"/>
  <c r="H402" i="3"/>
  <c r="G443" i="3"/>
  <c r="I401" i="3"/>
  <c r="H442" i="3"/>
  <c r="L371" i="3"/>
  <c r="J17" i="8"/>
  <c r="L357" i="3"/>
  <c r="N380" i="3"/>
  <c r="N353" i="3"/>
  <c r="M395" i="3"/>
  <c r="M436" i="3" s="1"/>
  <c r="O376" i="3"/>
  <c r="M367" i="3"/>
  <c r="L365" i="3"/>
  <c r="J404" i="3"/>
  <c r="I445" i="3"/>
  <c r="F2" i="19"/>
  <c r="L355" i="3"/>
  <c r="L387" i="3" s="1"/>
  <c r="M385" i="3"/>
  <c r="L381" i="3"/>
  <c r="H393" i="3"/>
  <c r="G434" i="3"/>
  <c r="H2" i="19"/>
  <c r="D35" i="8"/>
  <c r="C9" i="13"/>
  <c r="G2" i="19"/>
  <c r="G419" i="3"/>
  <c r="F460" i="3"/>
  <c r="J406" i="3"/>
  <c r="I447" i="3"/>
  <c r="M411" i="3"/>
  <c r="L452" i="3"/>
  <c r="J22" i="3"/>
  <c r="J25" i="3" s="1"/>
  <c r="J35" i="3" s="1"/>
  <c r="J43" i="3"/>
  <c r="I4" i="19" s="1"/>
  <c r="G427" i="3"/>
  <c r="F468" i="3"/>
  <c r="O366" i="3"/>
  <c r="N363" i="3"/>
  <c r="F22" i="3"/>
  <c r="F43" i="3"/>
  <c r="O362" i="3"/>
  <c r="E39" i="19"/>
  <c r="F212" i="3"/>
  <c r="R190" i="3"/>
  <c r="H15" i="8" s="1"/>
  <c r="S24" i="8" s="1"/>
  <c r="N370" i="3"/>
  <c r="J408" i="3"/>
  <c r="I449" i="3"/>
  <c r="L368" i="3"/>
  <c r="K410" i="3"/>
  <c r="K451" i="3" s="1"/>
  <c r="L16" i="8"/>
  <c r="T216" i="3"/>
  <c r="S219" i="3"/>
  <c r="J27" i="8"/>
  <c r="I397" i="3"/>
  <c r="H438" i="3"/>
  <c r="E341" i="3"/>
  <c r="F12" i="8"/>
  <c r="F23" i="8" s="1"/>
  <c r="F31" i="8" s="1"/>
  <c r="H16" i="8"/>
  <c r="S25" i="8" s="1"/>
  <c r="L350" i="3"/>
  <c r="D341" i="3"/>
  <c r="G417" i="3"/>
  <c r="F458" i="3"/>
  <c r="O348" i="3"/>
  <c r="M383" i="3"/>
  <c r="L373" i="3"/>
  <c r="F467" i="3"/>
  <c r="G426" i="3"/>
  <c r="L17" i="8"/>
  <c r="N364" i="3"/>
  <c r="Q375" i="3"/>
  <c r="L358" i="3"/>
  <c r="K400" i="3"/>
  <c r="K441" i="3" s="1"/>
  <c r="G433" i="3"/>
  <c r="H392" i="3"/>
  <c r="L22" i="3" l="1"/>
  <c r="L25" i="3" s="1"/>
  <c r="L35" i="3" s="1"/>
  <c r="L43" i="3"/>
  <c r="K4" i="19" s="1"/>
  <c r="O364" i="3"/>
  <c r="Q369" i="3"/>
  <c r="N382" i="3"/>
  <c r="M424" i="3"/>
  <c r="M465" i="3" s="1"/>
  <c r="J2" i="19"/>
  <c r="M350" i="3"/>
  <c r="I2" i="19"/>
  <c r="N383" i="3"/>
  <c r="H417" i="3"/>
  <c r="G458" i="3"/>
  <c r="D5" i="13"/>
  <c r="D7" i="4"/>
  <c r="R13" i="8"/>
  <c r="E4" i="19"/>
  <c r="H427" i="3"/>
  <c r="G468" i="3"/>
  <c r="J447" i="3"/>
  <c r="K406" i="3"/>
  <c r="J445" i="3"/>
  <c r="K404" i="3"/>
  <c r="O353" i="3"/>
  <c r="N395" i="3"/>
  <c r="N436" i="3" s="1"/>
  <c r="J391" i="3"/>
  <c r="I432" i="3"/>
  <c r="I392" i="3"/>
  <c r="H433" i="3"/>
  <c r="C5" i="13"/>
  <c r="C7" i="4"/>
  <c r="R12" i="8"/>
  <c r="L410" i="3"/>
  <c r="L451" i="3" s="1"/>
  <c r="M368" i="3"/>
  <c r="F25" i="3"/>
  <c r="F35" i="3" s="1"/>
  <c r="M371" i="3"/>
  <c r="R369" i="3"/>
  <c r="S369" i="3" s="1"/>
  <c r="I450" i="3"/>
  <c r="J409" i="3"/>
  <c r="M354" i="3"/>
  <c r="N374" i="3"/>
  <c r="M416" i="3"/>
  <c r="M457" i="3" s="1"/>
  <c r="N349" i="3"/>
  <c r="I399" i="3"/>
  <c r="H440" i="3"/>
  <c r="M361" i="3"/>
  <c r="L403" i="3"/>
  <c r="L444" i="3" s="1"/>
  <c r="O360" i="3"/>
  <c r="I438" i="3"/>
  <c r="J397" i="3"/>
  <c r="O380" i="3"/>
  <c r="O363" i="3"/>
  <c r="M355" i="3"/>
  <c r="I442" i="3"/>
  <c r="J401" i="3"/>
  <c r="N351" i="3"/>
  <c r="H418" i="3"/>
  <c r="G459" i="3"/>
  <c r="L400" i="3"/>
  <c r="L441" i="3" s="1"/>
  <c r="M358" i="3"/>
  <c r="J449" i="3"/>
  <c r="K408" i="3"/>
  <c r="H425" i="3"/>
  <c r="G466" i="3"/>
  <c r="L20" i="8"/>
  <c r="T219" i="3"/>
  <c r="L27" i="8"/>
  <c r="H405" i="3"/>
  <c r="G446" i="3"/>
  <c r="N378" i="3"/>
  <c r="H420" i="3"/>
  <c r="G461" i="3"/>
  <c r="P348" i="3"/>
  <c r="M452" i="3"/>
  <c r="N411" i="3"/>
  <c r="M381" i="3"/>
  <c r="P376" i="3"/>
  <c r="I454" i="3"/>
  <c r="J413" i="3"/>
  <c r="N379" i="3"/>
  <c r="H423" i="3"/>
  <c r="G464" i="3"/>
  <c r="H428" i="3"/>
  <c r="G469" i="3"/>
  <c r="S212" i="3"/>
  <c r="J20" i="8" s="1"/>
  <c r="H419" i="3"/>
  <c r="G460" i="3"/>
  <c r="M365" i="3"/>
  <c r="H422" i="3"/>
  <c r="G463" i="3"/>
  <c r="H453" i="3"/>
  <c r="I412" i="3"/>
  <c r="M352" i="3"/>
  <c r="L394" i="3"/>
  <c r="L435" i="3" s="1"/>
  <c r="H426" i="3"/>
  <c r="G467" i="3"/>
  <c r="P366" i="3"/>
  <c r="H434" i="3"/>
  <c r="I393" i="3"/>
  <c r="N367" i="3"/>
  <c r="M357" i="3"/>
  <c r="N386" i="3"/>
  <c r="M359" i="3"/>
  <c r="R375" i="3"/>
  <c r="S375" i="3" s="1"/>
  <c r="H443" i="3"/>
  <c r="I402" i="3"/>
  <c r="R212" i="3"/>
  <c r="H20" i="8" s="1"/>
  <c r="S27" i="8" s="1"/>
  <c r="P372" i="3"/>
  <c r="O356" i="3"/>
  <c r="N398" i="3"/>
  <c r="N439" i="3" s="1"/>
  <c r="M373" i="3"/>
  <c r="F35" i="8"/>
  <c r="D9" i="13"/>
  <c r="O370" i="3"/>
  <c r="P362" i="3"/>
  <c r="N385" i="3"/>
  <c r="I390" i="3"/>
  <c r="H431" i="3"/>
  <c r="I415" i="3"/>
  <c r="H456" i="3"/>
  <c r="H414" i="3"/>
  <c r="G455" i="3"/>
  <c r="G437" i="3"/>
  <c r="G472" i="3" s="1"/>
  <c r="G39" i="3" s="1"/>
  <c r="H396" i="3"/>
  <c r="M377" i="3"/>
  <c r="H421" i="3"/>
  <c r="G462" i="3"/>
  <c r="H407" i="3"/>
  <c r="G448" i="3"/>
  <c r="F3" i="19" l="1"/>
  <c r="F77" i="19" s="1"/>
  <c r="G341" i="3"/>
  <c r="F7" i="4" s="1"/>
  <c r="N377" i="3"/>
  <c r="N373" i="3"/>
  <c r="J454" i="3"/>
  <c r="K413" i="3"/>
  <c r="N355" i="3"/>
  <c r="O349" i="3"/>
  <c r="J450" i="3"/>
  <c r="K409" i="3"/>
  <c r="D7" i="13"/>
  <c r="D53" i="4"/>
  <c r="N424" i="3"/>
  <c r="N465" i="3" s="1"/>
  <c r="O382" i="3"/>
  <c r="J390" i="3"/>
  <c r="I431" i="3"/>
  <c r="Q362" i="3"/>
  <c r="O386" i="3"/>
  <c r="J393" i="3"/>
  <c r="I434" i="3"/>
  <c r="N365" i="3"/>
  <c r="I418" i="3"/>
  <c r="H459" i="3"/>
  <c r="K447" i="3"/>
  <c r="L406" i="3"/>
  <c r="H437" i="3"/>
  <c r="I396" i="3"/>
  <c r="N352" i="3"/>
  <c r="M394" i="3"/>
  <c r="M435" i="3" s="1"/>
  <c r="I405" i="3"/>
  <c r="H446" i="3"/>
  <c r="T369" i="3"/>
  <c r="T452" i="3" s="1"/>
  <c r="S452" i="3"/>
  <c r="O398" i="3"/>
  <c r="O439" i="3" s="1"/>
  <c r="P356" i="3"/>
  <c r="I419" i="3"/>
  <c r="H460" i="3"/>
  <c r="K449" i="3"/>
  <c r="L408" i="3"/>
  <c r="P363" i="3"/>
  <c r="P360" i="3"/>
  <c r="I417" i="3"/>
  <c r="H458" i="3"/>
  <c r="O385" i="3"/>
  <c r="Q376" i="3"/>
  <c r="O374" i="3"/>
  <c r="N416" i="3"/>
  <c r="N457" i="3" s="1"/>
  <c r="C53" i="4"/>
  <c r="C7" i="13"/>
  <c r="I427" i="3"/>
  <c r="H468" i="3"/>
  <c r="H448" i="3"/>
  <c r="I407" i="3"/>
  <c r="N357" i="3"/>
  <c r="Q366" i="3"/>
  <c r="H461" i="3"/>
  <c r="I420" i="3"/>
  <c r="J442" i="3"/>
  <c r="K401" i="3"/>
  <c r="N361" i="3"/>
  <c r="M403" i="3"/>
  <c r="M444" i="3" s="1"/>
  <c r="N359" i="3"/>
  <c r="H469" i="3"/>
  <c r="I428" i="3"/>
  <c r="N381" i="3"/>
  <c r="N358" i="3"/>
  <c r="M400" i="3"/>
  <c r="M441" i="3" s="1"/>
  <c r="O395" i="3"/>
  <c r="O436" i="3" s="1"/>
  <c r="P353" i="3"/>
  <c r="O383" i="3"/>
  <c r="I421" i="3"/>
  <c r="H462" i="3"/>
  <c r="I456" i="3"/>
  <c r="J415" i="3"/>
  <c r="O367" i="3"/>
  <c r="I426" i="3"/>
  <c r="H467" i="3"/>
  <c r="I422" i="3"/>
  <c r="H463" i="3"/>
  <c r="O379" i="3"/>
  <c r="N452" i="3"/>
  <c r="O411" i="3"/>
  <c r="O378" i="3"/>
  <c r="P380" i="3"/>
  <c r="I440" i="3"/>
  <c r="J399" i="3"/>
  <c r="E2" i="19"/>
  <c r="E77" i="19" s="1"/>
  <c r="F341" i="3"/>
  <c r="E7" i="4" s="1"/>
  <c r="I433" i="3"/>
  <c r="J392" i="3"/>
  <c r="K445" i="3"/>
  <c r="L404" i="3"/>
  <c r="J438" i="3"/>
  <c r="K397" i="3"/>
  <c r="K2" i="19"/>
  <c r="M387" i="3"/>
  <c r="J432" i="3"/>
  <c r="K391" i="3"/>
  <c r="I423" i="3"/>
  <c r="H464" i="3"/>
  <c r="P370" i="3"/>
  <c r="Q348" i="3"/>
  <c r="R348" i="3"/>
  <c r="N371" i="3"/>
  <c r="N350" i="3"/>
  <c r="P364" i="3"/>
  <c r="H472" i="3"/>
  <c r="H39" i="3" s="1"/>
  <c r="I443" i="3"/>
  <c r="J402" i="3"/>
  <c r="I425" i="3"/>
  <c r="H466" i="3"/>
  <c r="N368" i="3"/>
  <c r="M410" i="3"/>
  <c r="M451" i="3" s="1"/>
  <c r="T375" i="3"/>
  <c r="T458" i="3" s="1"/>
  <c r="S458" i="3"/>
  <c r="I453" i="3"/>
  <c r="J412" i="3"/>
  <c r="Q372" i="3"/>
  <c r="O351" i="3"/>
  <c r="I414" i="3"/>
  <c r="H455" i="3"/>
  <c r="N354" i="3"/>
  <c r="P378" i="3" l="1"/>
  <c r="I462" i="3"/>
  <c r="J421" i="3"/>
  <c r="O357" i="3"/>
  <c r="J453" i="3"/>
  <c r="K412" i="3"/>
  <c r="J428" i="3"/>
  <c r="I469" i="3"/>
  <c r="P374" i="3"/>
  <c r="O416" i="3"/>
  <c r="O457" i="3" s="1"/>
  <c r="K450" i="3"/>
  <c r="L409" i="3"/>
  <c r="Q364" i="3"/>
  <c r="Q353" i="3"/>
  <c r="P395" i="3"/>
  <c r="P436" i="3" s="1"/>
  <c r="R353" i="3"/>
  <c r="S353" i="3" s="1"/>
  <c r="R376" i="3"/>
  <c r="S376" i="3" s="1"/>
  <c r="J418" i="3"/>
  <c r="I459" i="3"/>
  <c r="K454" i="3"/>
  <c r="L413" i="3"/>
  <c r="O350" i="3"/>
  <c r="L445" i="3"/>
  <c r="M404" i="3"/>
  <c r="J456" i="3"/>
  <c r="K415" i="3"/>
  <c r="P351" i="3"/>
  <c r="J443" i="3"/>
  <c r="K402" i="3"/>
  <c r="Q380" i="3"/>
  <c r="R380" i="3"/>
  <c r="S380" i="3" s="1"/>
  <c r="J422" i="3"/>
  <c r="I463" i="3"/>
  <c r="O424" i="3"/>
  <c r="O465" i="3" s="1"/>
  <c r="P382" i="3"/>
  <c r="O373" i="3"/>
  <c r="O368" i="3"/>
  <c r="N410" i="3"/>
  <c r="N451" i="3" s="1"/>
  <c r="M22" i="3"/>
  <c r="M43" i="3"/>
  <c r="J433" i="3"/>
  <c r="K392" i="3"/>
  <c r="O358" i="3"/>
  <c r="N400" i="3"/>
  <c r="N441" i="3" s="1"/>
  <c r="R366" i="3"/>
  <c r="S366" i="3" s="1"/>
  <c r="P385" i="3"/>
  <c r="Q363" i="3"/>
  <c r="R363" i="3"/>
  <c r="S363" i="3" s="1"/>
  <c r="L447" i="3"/>
  <c r="M406" i="3"/>
  <c r="J434" i="3"/>
  <c r="K393" i="3"/>
  <c r="P349" i="3"/>
  <c r="R372" i="3"/>
  <c r="S372" i="3" s="1"/>
  <c r="O371" i="3"/>
  <c r="Q370" i="3"/>
  <c r="J426" i="3"/>
  <c r="I467" i="3"/>
  <c r="L449" i="3"/>
  <c r="M408" i="3"/>
  <c r="G3" i="19"/>
  <c r="G77" i="19" s="1"/>
  <c r="H341" i="3"/>
  <c r="G7" i="4" s="1"/>
  <c r="S348" i="3"/>
  <c r="O452" i="3"/>
  <c r="P411" i="3"/>
  <c r="O381" i="3"/>
  <c r="N403" i="3"/>
  <c r="N444" i="3" s="1"/>
  <c r="O361" i="3"/>
  <c r="O377" i="3"/>
  <c r="O354" i="3"/>
  <c r="K438" i="3"/>
  <c r="L397" i="3"/>
  <c r="P383" i="3"/>
  <c r="J440" i="3"/>
  <c r="K399" i="3"/>
  <c r="I460" i="3"/>
  <c r="J419" i="3"/>
  <c r="F11" i="4"/>
  <c r="F42" i="4"/>
  <c r="H33" i="12" s="1"/>
  <c r="F27" i="4"/>
  <c r="H19" i="12" s="1"/>
  <c r="F24" i="4"/>
  <c r="H16" i="12" s="1"/>
  <c r="F44" i="4"/>
  <c r="H34" i="12" s="1"/>
  <c r="F39" i="4"/>
  <c r="H30" i="12" s="1"/>
  <c r="F43" i="4"/>
  <c r="J414" i="3"/>
  <c r="I455" i="3"/>
  <c r="I464" i="3"/>
  <c r="J423" i="3"/>
  <c r="P379" i="3"/>
  <c r="R362" i="3"/>
  <c r="S362" i="3" s="1"/>
  <c r="O359" i="3"/>
  <c r="I461" i="3"/>
  <c r="J420" i="3"/>
  <c r="O352" i="3"/>
  <c r="N394" i="3"/>
  <c r="N435" i="3" s="1"/>
  <c r="N387" i="3"/>
  <c r="E24" i="4"/>
  <c r="E39" i="4"/>
  <c r="E42" i="4"/>
  <c r="E43" i="4"/>
  <c r="E44" i="4"/>
  <c r="E11" i="4"/>
  <c r="E27" i="4"/>
  <c r="P386" i="3"/>
  <c r="P367" i="3"/>
  <c r="K442" i="3"/>
  <c r="L401" i="3"/>
  <c r="I448" i="3"/>
  <c r="J407" i="3"/>
  <c r="J417" i="3"/>
  <c r="I458" i="3"/>
  <c r="I446" i="3"/>
  <c r="J405" i="3"/>
  <c r="O355" i="3"/>
  <c r="I466" i="3"/>
  <c r="J425" i="3"/>
  <c r="K432" i="3"/>
  <c r="L391" i="3"/>
  <c r="I468" i="3"/>
  <c r="J427" i="3"/>
  <c r="Q360" i="3"/>
  <c r="Q356" i="3"/>
  <c r="R356" i="3" s="1"/>
  <c r="S356" i="3" s="1"/>
  <c r="P398" i="3"/>
  <c r="P439" i="3" s="1"/>
  <c r="I437" i="3"/>
  <c r="I472" i="3" s="1"/>
  <c r="I39" i="3" s="1"/>
  <c r="J396" i="3"/>
  <c r="O365" i="3"/>
  <c r="K390" i="3"/>
  <c r="J431" i="3"/>
  <c r="R364" i="3"/>
  <c r="S364" i="3" s="1"/>
  <c r="H3" i="19" l="1"/>
  <c r="H77" i="19" s="1"/>
  <c r="I341" i="3"/>
  <c r="H7" i="4" s="1"/>
  <c r="S439" i="3"/>
  <c r="T356" i="3"/>
  <c r="T439" i="3" s="1"/>
  <c r="Q367" i="3"/>
  <c r="P377" i="3"/>
  <c r="Q385" i="3"/>
  <c r="R385" i="3" s="1"/>
  <c r="S385" i="3" s="1"/>
  <c r="Q382" i="3"/>
  <c r="P424" i="3"/>
  <c r="P465" i="3" s="1"/>
  <c r="J437" i="3"/>
  <c r="K396" i="3"/>
  <c r="L432" i="3"/>
  <c r="M391" i="3"/>
  <c r="F51" i="4"/>
  <c r="F53" i="4" s="1"/>
  <c r="H3" i="12"/>
  <c r="G33" i="12"/>
  <c r="Q379" i="3"/>
  <c r="J460" i="3"/>
  <c r="K419" i="3"/>
  <c r="P350" i="3"/>
  <c r="P357" i="3"/>
  <c r="L438" i="3"/>
  <c r="M397" i="3"/>
  <c r="M25" i="3"/>
  <c r="M35" i="3" s="1"/>
  <c r="Q351" i="3"/>
  <c r="Q386" i="3"/>
  <c r="T372" i="3"/>
  <c r="T455" i="3" s="1"/>
  <c r="S455" i="3"/>
  <c r="T380" i="3"/>
  <c r="T463" i="3" s="1"/>
  <c r="S463" i="3"/>
  <c r="J469" i="3"/>
  <c r="K428" i="3"/>
  <c r="J472" i="3"/>
  <c r="J39" i="3" s="1"/>
  <c r="L442" i="3"/>
  <c r="M401" i="3"/>
  <c r="N43" i="3"/>
  <c r="M4" i="19" s="1"/>
  <c r="N22" i="3"/>
  <c r="N25" i="3" s="1"/>
  <c r="N35" i="3" s="1"/>
  <c r="K440" i="3"/>
  <c r="L399" i="3"/>
  <c r="P381" i="3"/>
  <c r="K431" i="3"/>
  <c r="L390" i="3"/>
  <c r="R360" i="3"/>
  <c r="S360" i="3" s="1"/>
  <c r="P355" i="3"/>
  <c r="P359" i="3"/>
  <c r="P354" i="3"/>
  <c r="P452" i="3"/>
  <c r="Q411" i="3"/>
  <c r="Q452" i="3" s="1"/>
  <c r="R452" i="3" s="1"/>
  <c r="M445" i="3"/>
  <c r="N404" i="3"/>
  <c r="P365" i="3"/>
  <c r="J468" i="3"/>
  <c r="K427" i="3"/>
  <c r="J446" i="3"/>
  <c r="K405" i="3"/>
  <c r="E51" i="4"/>
  <c r="E53" i="4" s="1"/>
  <c r="G3" i="12"/>
  <c r="T362" i="3"/>
  <c r="T445" i="3" s="1"/>
  <c r="S445" i="3"/>
  <c r="K426" i="3"/>
  <c r="J467" i="3"/>
  <c r="Q349" i="3"/>
  <c r="R349" i="3"/>
  <c r="P373" i="3"/>
  <c r="K443" i="3"/>
  <c r="L402" i="3"/>
  <c r="J459" i="3"/>
  <c r="K418" i="3"/>
  <c r="L450" i="3"/>
  <c r="M409" i="3"/>
  <c r="K453" i="3"/>
  <c r="L412" i="3"/>
  <c r="Q378" i="3"/>
  <c r="O394" i="3"/>
  <c r="O435" i="3" s="1"/>
  <c r="P352" i="3"/>
  <c r="J455" i="3"/>
  <c r="K414" i="3"/>
  <c r="P361" i="3"/>
  <c r="O403" i="3"/>
  <c r="O444" i="3" s="1"/>
  <c r="T366" i="3"/>
  <c r="T449" i="3" s="1"/>
  <c r="S449" i="3"/>
  <c r="K417" i="3"/>
  <c r="J458" i="3"/>
  <c r="G42" i="4"/>
  <c r="I33" i="12" s="1"/>
  <c r="G11" i="4"/>
  <c r="G39" i="4"/>
  <c r="I30" i="12" s="1"/>
  <c r="G43" i="4"/>
  <c r="G44" i="4"/>
  <c r="I34" i="12" s="1"/>
  <c r="G24" i="4"/>
  <c r="I16" i="12" s="1"/>
  <c r="G27" i="4"/>
  <c r="I19" i="12" s="1"/>
  <c r="M447" i="3"/>
  <c r="N406" i="3"/>
  <c r="J463" i="3"/>
  <c r="K422" i="3"/>
  <c r="L454" i="3"/>
  <c r="M413" i="3"/>
  <c r="J462" i="3"/>
  <c r="K421" i="3"/>
  <c r="Q398" i="3"/>
  <c r="Q439" i="3" s="1"/>
  <c r="R439" i="3" s="1"/>
  <c r="S446" i="3"/>
  <c r="T363" i="3"/>
  <c r="T446" i="3" s="1"/>
  <c r="Q395" i="3"/>
  <c r="Q436" i="3" s="1"/>
  <c r="R436" i="3" s="1"/>
  <c r="G34" i="12"/>
  <c r="K434" i="3"/>
  <c r="L393" i="3"/>
  <c r="K433" i="3"/>
  <c r="L392" i="3"/>
  <c r="T376" i="3"/>
  <c r="T459" i="3" s="1"/>
  <c r="S459" i="3"/>
  <c r="Q383" i="3"/>
  <c r="T348" i="3"/>
  <c r="S431" i="3"/>
  <c r="J461" i="3"/>
  <c r="K420" i="3"/>
  <c r="L4" i="19"/>
  <c r="T353" i="3"/>
  <c r="T436" i="3" s="1"/>
  <c r="S436" i="3"/>
  <c r="Q374" i="3"/>
  <c r="Q416" i="3" s="1"/>
  <c r="Q457" i="3" s="1"/>
  <c r="R457" i="3" s="1"/>
  <c r="P416" i="3"/>
  <c r="P457" i="3" s="1"/>
  <c r="J466" i="3"/>
  <c r="K425" i="3"/>
  <c r="J448" i="3"/>
  <c r="K407" i="3"/>
  <c r="G30" i="12"/>
  <c r="J464" i="3"/>
  <c r="K423" i="3"/>
  <c r="P371" i="3"/>
  <c r="T364" i="3"/>
  <c r="T447" i="3" s="1"/>
  <c r="S447" i="3"/>
  <c r="G16" i="12"/>
  <c r="M449" i="3"/>
  <c r="N408" i="3"/>
  <c r="K456" i="3"/>
  <c r="L415" i="3"/>
  <c r="G19" i="12"/>
  <c r="O387" i="3"/>
  <c r="P358" i="3"/>
  <c r="O400" i="3"/>
  <c r="O441" i="3" s="1"/>
  <c r="P368" i="3"/>
  <c r="O410" i="3"/>
  <c r="O451" i="3" s="1"/>
  <c r="R370" i="3"/>
  <c r="S370" i="3" s="1"/>
  <c r="T385" i="3" l="1"/>
  <c r="T468" i="3" s="1"/>
  <c r="S468" i="3"/>
  <c r="K455" i="3"/>
  <c r="L414" i="3"/>
  <c r="K468" i="3"/>
  <c r="L427" i="3"/>
  <c r="R383" i="3"/>
  <c r="S383" i="3" s="1"/>
  <c r="K462" i="3"/>
  <c r="L421" i="3"/>
  <c r="M450" i="3"/>
  <c r="N409" i="3"/>
  <c r="K469" i="3"/>
  <c r="L428" i="3"/>
  <c r="Q357" i="3"/>
  <c r="Q368" i="3"/>
  <c r="P410" i="3"/>
  <c r="P451" i="3" s="1"/>
  <c r="K466" i="3"/>
  <c r="L425" i="3"/>
  <c r="Q350" i="3"/>
  <c r="R350" i="3" s="1"/>
  <c r="Q365" i="3"/>
  <c r="O43" i="3"/>
  <c r="O22" i="3"/>
  <c r="O25" i="3" s="1"/>
  <c r="O35" i="3" s="1"/>
  <c r="L433" i="3"/>
  <c r="M392" i="3"/>
  <c r="K446" i="3"/>
  <c r="L405" i="3"/>
  <c r="T370" i="3"/>
  <c r="T453" i="3" s="1"/>
  <c r="S453" i="3"/>
  <c r="T431" i="3"/>
  <c r="N447" i="3"/>
  <c r="O406" i="3"/>
  <c r="I3" i="12"/>
  <c r="G51" i="4"/>
  <c r="G53" i="4" s="1"/>
  <c r="P403" i="3"/>
  <c r="P444" i="3" s="1"/>
  <c r="Q361" i="3"/>
  <c r="L453" i="3"/>
  <c r="M412" i="3"/>
  <c r="K467" i="3"/>
  <c r="L426" i="3"/>
  <c r="Q359" i="3"/>
  <c r="R379" i="3"/>
  <c r="S379" i="3" s="1"/>
  <c r="K437" i="3"/>
  <c r="L396" i="3"/>
  <c r="Q381" i="3"/>
  <c r="R386" i="3"/>
  <c r="S386" i="3" s="1"/>
  <c r="Q377" i="3"/>
  <c r="L440" i="3"/>
  <c r="M399" i="3"/>
  <c r="P394" i="3"/>
  <c r="P435" i="3" s="1"/>
  <c r="Q352" i="3"/>
  <c r="H11" i="4"/>
  <c r="H39" i="4"/>
  <c r="H43" i="4"/>
  <c r="H24" i="4"/>
  <c r="J16" i="12" s="1"/>
  <c r="H44" i="4"/>
  <c r="H27" i="4"/>
  <c r="J19" i="12" s="1"/>
  <c r="H42" i="4"/>
  <c r="J33" i="12" s="1"/>
  <c r="N449" i="3"/>
  <c r="O408" i="3"/>
  <c r="K459" i="3"/>
  <c r="L418" i="3"/>
  <c r="M2" i="19"/>
  <c r="Q358" i="3"/>
  <c r="P400" i="3"/>
  <c r="P441" i="3" s="1"/>
  <c r="R358" i="3"/>
  <c r="S358" i="3" s="1"/>
  <c r="K464" i="3"/>
  <c r="L423" i="3"/>
  <c r="R374" i="3"/>
  <c r="S374" i="3" s="1"/>
  <c r="Q354" i="3"/>
  <c r="L2" i="19"/>
  <c r="K448" i="3"/>
  <c r="L407" i="3"/>
  <c r="L434" i="3"/>
  <c r="M393" i="3"/>
  <c r="I3" i="19"/>
  <c r="I77" i="19" s="1"/>
  <c r="J341" i="3"/>
  <c r="I7" i="4" s="1"/>
  <c r="L456" i="3"/>
  <c r="M415" i="3"/>
  <c r="Q373" i="3"/>
  <c r="R351" i="3"/>
  <c r="S351" i="3" s="1"/>
  <c r="K458" i="3"/>
  <c r="K472" i="3" s="1"/>
  <c r="K39" i="3" s="1"/>
  <c r="L417" i="3"/>
  <c r="P387" i="3"/>
  <c r="Q355" i="3"/>
  <c r="Q371" i="3"/>
  <c r="K461" i="3"/>
  <c r="L420" i="3"/>
  <c r="M454" i="3"/>
  <c r="N413" i="3"/>
  <c r="S349" i="3"/>
  <c r="S443" i="3"/>
  <c r="T360" i="3"/>
  <c r="T443" i="3" s="1"/>
  <c r="Q424" i="3"/>
  <c r="Q465" i="3" s="1"/>
  <c r="R465" i="3" s="1"/>
  <c r="R382" i="3"/>
  <c r="S382" i="3" s="1"/>
  <c r="K463" i="3"/>
  <c r="L422" i="3"/>
  <c r="R378" i="3"/>
  <c r="S378" i="3" s="1"/>
  <c r="L443" i="3"/>
  <c r="M402" i="3"/>
  <c r="R367" i="3"/>
  <c r="S367" i="3" s="1"/>
  <c r="N445" i="3"/>
  <c r="O404" i="3"/>
  <c r="L431" i="3"/>
  <c r="M390" i="3"/>
  <c r="M442" i="3"/>
  <c r="N401" i="3"/>
  <c r="M438" i="3"/>
  <c r="N397" i="3"/>
  <c r="K460" i="3"/>
  <c r="L419" i="3"/>
  <c r="M432" i="3"/>
  <c r="N391" i="3"/>
  <c r="J3" i="19" l="1"/>
  <c r="J77" i="19" s="1"/>
  <c r="K341" i="3"/>
  <c r="J7" i="4" s="1"/>
  <c r="S350" i="3"/>
  <c r="L463" i="3"/>
  <c r="M422" i="3"/>
  <c r="R359" i="3"/>
  <c r="S359" i="3" s="1"/>
  <c r="N2" i="19"/>
  <c r="L468" i="3"/>
  <c r="M427" i="3"/>
  <c r="O445" i="3"/>
  <c r="P404" i="3"/>
  <c r="I42" i="4"/>
  <c r="K33" i="12" s="1"/>
  <c r="I44" i="4"/>
  <c r="K34" i="12" s="1"/>
  <c r="I39" i="4"/>
  <c r="K30" i="12" s="1"/>
  <c r="I11" i="4"/>
  <c r="I43" i="4"/>
  <c r="I24" i="4"/>
  <c r="K16" i="12" s="1"/>
  <c r="I27" i="4"/>
  <c r="K19" i="12" s="1"/>
  <c r="Q394" i="3"/>
  <c r="Q435" i="3" s="1"/>
  <c r="R435" i="3" s="1"/>
  <c r="R352" i="3"/>
  <c r="S352" i="3" s="1"/>
  <c r="R381" i="3"/>
  <c r="S381" i="3" s="1"/>
  <c r="T382" i="3"/>
  <c r="T465" i="3" s="1"/>
  <c r="S465" i="3"/>
  <c r="R354" i="3"/>
  <c r="S354" i="3" s="1"/>
  <c r="L467" i="3"/>
  <c r="M426" i="3"/>
  <c r="S434" i="3"/>
  <c r="T351" i="3"/>
  <c r="T434" i="3" s="1"/>
  <c r="Q387" i="3"/>
  <c r="L437" i="3"/>
  <c r="M396" i="3"/>
  <c r="J34" i="12"/>
  <c r="Q410" i="3"/>
  <c r="Q451" i="3" s="1"/>
  <c r="R451" i="3" s="1"/>
  <c r="R368" i="3"/>
  <c r="S368" i="3" s="1"/>
  <c r="L462" i="3"/>
  <c r="M421" i="3"/>
  <c r="N442" i="3"/>
  <c r="O401" i="3"/>
  <c r="R373" i="3"/>
  <c r="S373" i="3" s="1"/>
  <c r="L448" i="3"/>
  <c r="M407" i="3"/>
  <c r="T374" i="3"/>
  <c r="T457" i="3" s="1"/>
  <c r="S457" i="3"/>
  <c r="R377" i="3"/>
  <c r="S377" i="3" s="1"/>
  <c r="T379" i="3"/>
  <c r="T462" i="3" s="1"/>
  <c r="S462" i="3"/>
  <c r="T378" i="3"/>
  <c r="T461" i="3" s="1"/>
  <c r="S461" i="3"/>
  <c r="R355" i="3"/>
  <c r="S355" i="3" s="1"/>
  <c r="L464" i="3"/>
  <c r="M423" i="3"/>
  <c r="Q403" i="3"/>
  <c r="Q444" i="3" s="1"/>
  <c r="R444" i="3" s="1"/>
  <c r="R361" i="3"/>
  <c r="S361" i="3" s="1"/>
  <c r="R357" i="3"/>
  <c r="S357" i="3" s="1"/>
  <c r="T383" i="3"/>
  <c r="T466" i="3" s="1"/>
  <c r="S466" i="3"/>
  <c r="N432" i="3"/>
  <c r="O391" i="3"/>
  <c r="M431" i="3"/>
  <c r="N390" i="3"/>
  <c r="T349" i="3"/>
  <c r="S432" i="3"/>
  <c r="M456" i="3"/>
  <c r="N415" i="3"/>
  <c r="O449" i="3"/>
  <c r="P408" i="3"/>
  <c r="J30" i="12"/>
  <c r="T386" i="3"/>
  <c r="T469" i="3" s="1"/>
  <c r="S469" i="3"/>
  <c r="P22" i="3"/>
  <c r="P25" i="3" s="1"/>
  <c r="P35" i="3" s="1"/>
  <c r="P43" i="3"/>
  <c r="O4" i="19" s="1"/>
  <c r="H51" i="4"/>
  <c r="H53" i="4" s="1"/>
  <c r="J3" i="12"/>
  <c r="L469" i="3"/>
  <c r="M428" i="3"/>
  <c r="L460" i="3"/>
  <c r="M419" i="3"/>
  <c r="L458" i="3"/>
  <c r="M417" i="3"/>
  <c r="N4" i="19"/>
  <c r="L461" i="3"/>
  <c r="M420" i="3"/>
  <c r="O447" i="3"/>
  <c r="P406" i="3"/>
  <c r="N450" i="3"/>
  <c r="O409" i="3"/>
  <c r="N438" i="3"/>
  <c r="O397" i="3"/>
  <c r="M434" i="3"/>
  <c r="N393" i="3"/>
  <c r="L446" i="3"/>
  <c r="L472" i="3" s="1"/>
  <c r="L39" i="3" s="1"/>
  <c r="M405" i="3"/>
  <c r="N454" i="3"/>
  <c r="O413" i="3"/>
  <c r="T358" i="3"/>
  <c r="T441" i="3" s="1"/>
  <c r="S441" i="3"/>
  <c r="L466" i="3"/>
  <c r="M425" i="3"/>
  <c r="Q400" i="3"/>
  <c r="Q441" i="3" s="1"/>
  <c r="R441" i="3" s="1"/>
  <c r="L455" i="3"/>
  <c r="M414" i="3"/>
  <c r="S450" i="3"/>
  <c r="T367" i="3"/>
  <c r="T450" i="3" s="1"/>
  <c r="M440" i="3"/>
  <c r="N399" i="3"/>
  <c r="R365" i="3"/>
  <c r="S365" i="3" s="1"/>
  <c r="M443" i="3"/>
  <c r="N402" i="3"/>
  <c r="R371" i="3"/>
  <c r="S371" i="3" s="1"/>
  <c r="M453" i="3"/>
  <c r="N412" i="3"/>
  <c r="L459" i="3"/>
  <c r="M418" i="3"/>
  <c r="M433" i="3"/>
  <c r="N392" i="3"/>
  <c r="K3" i="19" l="1"/>
  <c r="K77" i="19" s="1"/>
  <c r="L341" i="3"/>
  <c r="K7" i="4" s="1"/>
  <c r="P447" i="3"/>
  <c r="Q406" i="3"/>
  <c r="Q447" i="3" s="1"/>
  <c r="R447" i="3" s="1"/>
  <c r="M460" i="3"/>
  <c r="N419" i="3"/>
  <c r="O432" i="3"/>
  <c r="P391" i="3"/>
  <c r="T373" i="3"/>
  <c r="T456" i="3" s="1"/>
  <c r="S456" i="3"/>
  <c r="T354" i="3"/>
  <c r="T437" i="3" s="1"/>
  <c r="S437" i="3"/>
  <c r="P445" i="3"/>
  <c r="Q404" i="3"/>
  <c r="Q445" i="3" s="1"/>
  <c r="R445" i="3" s="1"/>
  <c r="N433" i="3"/>
  <c r="O392" i="3"/>
  <c r="M469" i="3"/>
  <c r="N428" i="3"/>
  <c r="S460" i="3"/>
  <c r="T377" i="3"/>
  <c r="T460" i="3" s="1"/>
  <c r="M437" i="3"/>
  <c r="N396" i="3"/>
  <c r="N443" i="3"/>
  <c r="O402" i="3"/>
  <c r="O438" i="3"/>
  <c r="P397" i="3"/>
  <c r="S387" i="3"/>
  <c r="M468" i="3"/>
  <c r="N427" i="3"/>
  <c r="R387" i="3"/>
  <c r="M455" i="3"/>
  <c r="N414" i="3"/>
  <c r="O454" i="3"/>
  <c r="P413" i="3"/>
  <c r="T357" i="3"/>
  <c r="T440" i="3" s="1"/>
  <c r="S440" i="3"/>
  <c r="T355" i="3"/>
  <c r="T438" i="3" s="1"/>
  <c r="S438" i="3"/>
  <c r="M462" i="3"/>
  <c r="N421" i="3"/>
  <c r="Q43" i="3"/>
  <c r="P4" i="19" s="1"/>
  <c r="Q22" i="3"/>
  <c r="Q25" i="3" s="1"/>
  <c r="Q35" i="3" s="1"/>
  <c r="I51" i="4"/>
  <c r="I53" i="4" s="1"/>
  <c r="K3" i="12"/>
  <c r="S433" i="3"/>
  <c r="S472" i="3" s="1"/>
  <c r="S39" i="3" s="1"/>
  <c r="J25" i="8" s="1"/>
  <c r="T350" i="3"/>
  <c r="T433" i="3" s="1"/>
  <c r="M459" i="3"/>
  <c r="N418" i="3"/>
  <c r="S448" i="3"/>
  <c r="T365" i="3"/>
  <c r="T448" i="3" s="1"/>
  <c r="O450" i="3"/>
  <c r="P409" i="3"/>
  <c r="T432" i="3"/>
  <c r="T381" i="3"/>
  <c r="T464" i="3" s="1"/>
  <c r="S464" i="3"/>
  <c r="M461" i="3"/>
  <c r="N420" i="3"/>
  <c r="M458" i="3"/>
  <c r="N417" i="3"/>
  <c r="P449" i="3"/>
  <c r="Q408" i="3"/>
  <c r="Q449" i="3" s="1"/>
  <c r="R449" i="3" s="1"/>
  <c r="N431" i="3"/>
  <c r="O390" i="3"/>
  <c r="M448" i="3"/>
  <c r="N407" i="3"/>
  <c r="T368" i="3"/>
  <c r="T451" i="3" s="1"/>
  <c r="S451" i="3"/>
  <c r="J39" i="4"/>
  <c r="J43" i="4"/>
  <c r="J27" i="4"/>
  <c r="J11" i="4"/>
  <c r="J24" i="4"/>
  <c r="L16" i="12" s="1"/>
  <c r="J42" i="4"/>
  <c r="L33" i="12" s="1"/>
  <c r="J44" i="4"/>
  <c r="O2" i="19"/>
  <c r="T371" i="3"/>
  <c r="T454" i="3" s="1"/>
  <c r="S454" i="3"/>
  <c r="N434" i="3"/>
  <c r="O393" i="3"/>
  <c r="N456" i="3"/>
  <c r="O415" i="3"/>
  <c r="M463" i="3"/>
  <c r="N422" i="3"/>
  <c r="M464" i="3"/>
  <c r="N423" i="3"/>
  <c r="O442" i="3"/>
  <c r="P401" i="3"/>
  <c r="N453" i="3"/>
  <c r="O412" i="3"/>
  <c r="N440" i="3"/>
  <c r="O399" i="3"/>
  <c r="M466" i="3"/>
  <c r="N425" i="3"/>
  <c r="M446" i="3"/>
  <c r="M472" i="3" s="1"/>
  <c r="M39" i="3" s="1"/>
  <c r="N405" i="3"/>
  <c r="R22" i="3"/>
  <c r="R25" i="3" s="1"/>
  <c r="R35" i="3" s="1"/>
  <c r="T361" i="3"/>
  <c r="T444" i="3" s="1"/>
  <c r="S444" i="3"/>
  <c r="M467" i="3"/>
  <c r="N426" i="3"/>
  <c r="T352" i="3"/>
  <c r="T435" i="3" s="1"/>
  <c r="S435" i="3"/>
  <c r="S442" i="3"/>
  <c r="T359" i="3"/>
  <c r="T442" i="3" s="1"/>
  <c r="L3" i="19" l="1"/>
  <c r="L77" i="19" s="1"/>
  <c r="M341" i="3"/>
  <c r="L7" i="4" s="1"/>
  <c r="H12" i="8"/>
  <c r="N458" i="3"/>
  <c r="O417" i="3"/>
  <c r="P432" i="3"/>
  <c r="Q391" i="3"/>
  <c r="Q432" i="3" s="1"/>
  <c r="R432" i="3" s="1"/>
  <c r="N446" i="3"/>
  <c r="O405" i="3"/>
  <c r="O434" i="3"/>
  <c r="P393" i="3"/>
  <c r="N461" i="3"/>
  <c r="O420" i="3"/>
  <c r="N437" i="3"/>
  <c r="N472" i="3" s="1"/>
  <c r="N39" i="3" s="1"/>
  <c r="O396" i="3"/>
  <c r="N460" i="3"/>
  <c r="O419" i="3"/>
  <c r="N467" i="3"/>
  <c r="O426" i="3"/>
  <c r="N466" i="3"/>
  <c r="O425" i="3"/>
  <c r="N464" i="3"/>
  <c r="O423" i="3"/>
  <c r="J51" i="4"/>
  <c r="J53" i="4" s="1"/>
  <c r="L3" i="12"/>
  <c r="N468" i="3"/>
  <c r="O427" i="3"/>
  <c r="L19" i="12"/>
  <c r="O431" i="3"/>
  <c r="P390" i="3"/>
  <c r="P2" i="19"/>
  <c r="O440" i="3"/>
  <c r="P399" i="3"/>
  <c r="N463" i="3"/>
  <c r="O422" i="3"/>
  <c r="R43" i="3"/>
  <c r="H26" i="8" s="1"/>
  <c r="S32" i="8" s="1"/>
  <c r="S43" i="3"/>
  <c r="J26" i="8" s="1"/>
  <c r="S22" i="3"/>
  <c r="S25" i="3" s="1"/>
  <c r="S35" i="3" s="1"/>
  <c r="O443" i="3"/>
  <c r="P402" i="3"/>
  <c r="O433" i="3"/>
  <c r="P392" i="3"/>
  <c r="N448" i="3"/>
  <c r="O407" i="3"/>
  <c r="N459" i="3"/>
  <c r="O418" i="3"/>
  <c r="N462" i="3"/>
  <c r="O421" i="3"/>
  <c r="P454" i="3"/>
  <c r="Q413" i="3"/>
  <c r="Q454" i="3" s="1"/>
  <c r="P438" i="3"/>
  <c r="Q397" i="3"/>
  <c r="Q438" i="3" s="1"/>
  <c r="R438" i="3" s="1"/>
  <c r="N469" i="3"/>
  <c r="O428" i="3"/>
  <c r="K44" i="4"/>
  <c r="M34" i="12" s="1"/>
  <c r="K24" i="4"/>
  <c r="M16" i="12" s="1"/>
  <c r="K27" i="4"/>
  <c r="M19" i="12" s="1"/>
  <c r="K11" i="4"/>
  <c r="K43" i="4"/>
  <c r="K42" i="4"/>
  <c r="M33" i="12" s="1"/>
  <c r="K39" i="4"/>
  <c r="M30" i="12" s="1"/>
  <c r="T387" i="3"/>
  <c r="N455" i="3"/>
  <c r="O414" i="3"/>
  <c r="P442" i="3"/>
  <c r="Q401" i="3"/>
  <c r="Q442" i="3" s="1"/>
  <c r="R442" i="3" s="1"/>
  <c r="T472" i="3"/>
  <c r="T39" i="3" s="1"/>
  <c r="L25" i="8" s="1"/>
  <c r="P450" i="3"/>
  <c r="Q409" i="3"/>
  <c r="Q450" i="3" s="1"/>
  <c r="R450" i="3" s="1"/>
  <c r="L30" i="12"/>
  <c r="O453" i="3"/>
  <c r="P412" i="3"/>
  <c r="O456" i="3"/>
  <c r="P415" i="3"/>
  <c r="L34" i="12"/>
  <c r="M3" i="19" l="1"/>
  <c r="M77" i="19" s="1"/>
  <c r="N341" i="3"/>
  <c r="M7" i="4" s="1"/>
  <c r="O464" i="3"/>
  <c r="P423" i="3"/>
  <c r="O437" i="3"/>
  <c r="O472" i="3" s="1"/>
  <c r="O39" i="3" s="1"/>
  <c r="P396" i="3"/>
  <c r="S341" i="3"/>
  <c r="J12" i="8"/>
  <c r="J23" i="8" s="1"/>
  <c r="J31" i="8" s="1"/>
  <c r="O468" i="3"/>
  <c r="P427" i="3"/>
  <c r="O466" i="3"/>
  <c r="P425" i="3"/>
  <c r="O461" i="3"/>
  <c r="P420" i="3"/>
  <c r="O458" i="3"/>
  <c r="P417" i="3"/>
  <c r="P456" i="3"/>
  <c r="Q415" i="3"/>
  <c r="Q456" i="3" s="1"/>
  <c r="O448" i="3"/>
  <c r="P407" i="3"/>
  <c r="K51" i="4"/>
  <c r="K53" i="4" s="1"/>
  <c r="M3" i="12"/>
  <c r="P426" i="3"/>
  <c r="O467" i="3"/>
  <c r="P434" i="3"/>
  <c r="Q393" i="3"/>
  <c r="Q434" i="3" s="1"/>
  <c r="R434" i="3" s="1"/>
  <c r="S22" i="8"/>
  <c r="H23" i="8"/>
  <c r="P453" i="3"/>
  <c r="Q412" i="3"/>
  <c r="Q453" i="3" s="1"/>
  <c r="R453" i="3" s="1"/>
  <c r="R454" i="3"/>
  <c r="P433" i="3"/>
  <c r="Q392" i="3"/>
  <c r="Q433" i="3" s="1"/>
  <c r="T22" i="3"/>
  <c r="T25" i="3" s="1"/>
  <c r="T35" i="3" s="1"/>
  <c r="T43" i="3"/>
  <c r="L26" i="8" s="1"/>
  <c r="O469" i="3"/>
  <c r="P428" i="3"/>
  <c r="P440" i="3"/>
  <c r="Q399" i="3"/>
  <c r="Q440" i="3" s="1"/>
  <c r="R440" i="3" s="1"/>
  <c r="P431" i="3"/>
  <c r="Q390" i="3"/>
  <c r="Q431" i="3" s="1"/>
  <c r="O460" i="3"/>
  <c r="P419" i="3"/>
  <c r="O446" i="3"/>
  <c r="P405" i="3"/>
  <c r="L27" i="4"/>
  <c r="L11" i="4"/>
  <c r="L42" i="4"/>
  <c r="N33" i="12" s="1"/>
  <c r="L39" i="4"/>
  <c r="N30" i="12" s="1"/>
  <c r="L44" i="4"/>
  <c r="N34" i="12" s="1"/>
  <c r="L24" i="4"/>
  <c r="N16" i="12" s="1"/>
  <c r="L43" i="4"/>
  <c r="O459" i="3"/>
  <c r="P418" i="3"/>
  <c r="O455" i="3"/>
  <c r="P414" i="3"/>
  <c r="O462" i="3"/>
  <c r="P421" i="3"/>
  <c r="P443" i="3"/>
  <c r="Q402" i="3"/>
  <c r="Q443" i="3" s="1"/>
  <c r="O463" i="3"/>
  <c r="P422" i="3"/>
  <c r="N3" i="19" l="1"/>
  <c r="N77" i="19" s="1"/>
  <c r="O341" i="3"/>
  <c r="N7" i="4" s="1"/>
  <c r="P469" i="3"/>
  <c r="Q428" i="3"/>
  <c r="Q469" i="3" s="1"/>
  <c r="R469" i="3" s="1"/>
  <c r="P460" i="3"/>
  <c r="Q419" i="3"/>
  <c r="Q460" i="3" s="1"/>
  <c r="R460" i="3" s="1"/>
  <c r="P437" i="3"/>
  <c r="Q396" i="3"/>
  <c r="Q437" i="3" s="1"/>
  <c r="Q472" i="3" s="1"/>
  <c r="Q39" i="3" s="1"/>
  <c r="L12" i="8"/>
  <c r="L23" i="8" s="1"/>
  <c r="L31" i="8" s="1"/>
  <c r="T341" i="3"/>
  <c r="P448" i="3"/>
  <c r="Q407" i="3"/>
  <c r="Q448" i="3" s="1"/>
  <c r="R448" i="3" s="1"/>
  <c r="P466" i="3"/>
  <c r="Q425" i="3"/>
  <c r="Q466" i="3" s="1"/>
  <c r="R466" i="3" s="1"/>
  <c r="P455" i="3"/>
  <c r="Q414" i="3"/>
  <c r="Q455" i="3" s="1"/>
  <c r="R455" i="3" s="1"/>
  <c r="R431" i="3"/>
  <c r="P464" i="3"/>
  <c r="Q423" i="3"/>
  <c r="Q464" i="3" s="1"/>
  <c r="R464" i="3" s="1"/>
  <c r="P463" i="3"/>
  <c r="Q422" i="3"/>
  <c r="Q463" i="3" s="1"/>
  <c r="R463" i="3" s="1"/>
  <c r="R433" i="3"/>
  <c r="R456" i="3"/>
  <c r="P468" i="3"/>
  <c r="Q427" i="3"/>
  <c r="Q468" i="3" s="1"/>
  <c r="R468" i="3" s="1"/>
  <c r="P446" i="3"/>
  <c r="P472" i="3" s="1"/>
  <c r="P39" i="3" s="1"/>
  <c r="Q405" i="3"/>
  <c r="Q446" i="3" s="1"/>
  <c r="R446" i="3" s="1"/>
  <c r="R7" i="4"/>
  <c r="F5" i="13"/>
  <c r="R15" i="8"/>
  <c r="P461" i="3"/>
  <c r="Q420" i="3"/>
  <c r="Q461" i="3" s="1"/>
  <c r="R461" i="3" s="1"/>
  <c r="P459" i="3"/>
  <c r="Q418" i="3"/>
  <c r="Q459" i="3" s="1"/>
  <c r="R459" i="3" s="1"/>
  <c r="L51" i="4"/>
  <c r="L53" i="4" s="1"/>
  <c r="N3" i="12"/>
  <c r="M24" i="4"/>
  <c r="O16" i="12" s="1"/>
  <c r="M39" i="4"/>
  <c r="M43" i="4"/>
  <c r="M27" i="4"/>
  <c r="O19" i="12" s="1"/>
  <c r="M11" i="4"/>
  <c r="M44" i="4"/>
  <c r="M42" i="4"/>
  <c r="O33" i="12" s="1"/>
  <c r="P462" i="3"/>
  <c r="Q421" i="3"/>
  <c r="Q462" i="3" s="1"/>
  <c r="R462" i="3" s="1"/>
  <c r="R443" i="3"/>
  <c r="N19" i="12"/>
  <c r="P467" i="3"/>
  <c r="Q426" i="3"/>
  <c r="Q467" i="3" s="1"/>
  <c r="R467" i="3" s="1"/>
  <c r="P458" i="3"/>
  <c r="Q417" i="3"/>
  <c r="Q458" i="3" s="1"/>
  <c r="F9" i="13"/>
  <c r="O3" i="19" l="1"/>
  <c r="O77" i="19" s="1"/>
  <c r="P341" i="3"/>
  <c r="O7" i="4" s="1"/>
  <c r="P3" i="19"/>
  <c r="P77" i="19" s="1"/>
  <c r="Q341" i="3"/>
  <c r="P7" i="4" s="1"/>
  <c r="O3" i="12"/>
  <c r="M51" i="4"/>
  <c r="M53" i="4" s="1"/>
  <c r="R472" i="3"/>
  <c r="R39" i="3" s="1"/>
  <c r="G5" i="13"/>
  <c r="S7" i="4"/>
  <c r="R16" i="8"/>
  <c r="G9" i="13"/>
  <c r="N11" i="4"/>
  <c r="N24" i="4"/>
  <c r="P16" i="12" s="1"/>
  <c r="N44" i="4"/>
  <c r="P34" i="12" s="1"/>
  <c r="N42" i="4"/>
  <c r="P33" i="12" s="1"/>
  <c r="N43" i="4"/>
  <c r="N27" i="4"/>
  <c r="P19" i="12" s="1"/>
  <c r="N39" i="4"/>
  <c r="P30" i="12" s="1"/>
  <c r="R39" i="4"/>
  <c r="R43" i="4"/>
  <c r="R27" i="4"/>
  <c r="H48" i="12" s="1"/>
  <c r="R11" i="4"/>
  <c r="R51" i="4" s="1"/>
  <c r="R24" i="4"/>
  <c r="H45" i="12" s="1"/>
  <c r="R42" i="4"/>
  <c r="R44" i="4"/>
  <c r="F7" i="13"/>
  <c r="O34" i="12"/>
  <c r="O30" i="12"/>
  <c r="R437" i="3"/>
  <c r="R458" i="3"/>
  <c r="F16" i="13" l="1"/>
  <c r="J33" i="8"/>
  <c r="H25" i="8"/>
  <c r="R341" i="3"/>
  <c r="R53" i="4"/>
  <c r="H71" i="12"/>
  <c r="H60" i="12"/>
  <c r="F20" i="13" s="1"/>
  <c r="N51" i="4"/>
  <c r="N53" i="4" s="1"/>
  <c r="P3" i="12"/>
  <c r="P11" i="4"/>
  <c r="P39" i="4"/>
  <c r="P43" i="4"/>
  <c r="P27" i="4"/>
  <c r="P24" i="4"/>
  <c r="P42" i="4"/>
  <c r="P44" i="4"/>
  <c r="H75" i="12"/>
  <c r="H64" i="12"/>
  <c r="H63" i="12"/>
  <c r="H74" i="12"/>
  <c r="O42" i="4"/>
  <c r="Q33" i="12" s="1"/>
  <c r="O43" i="4"/>
  <c r="O44" i="4"/>
  <c r="Q34" i="12" s="1"/>
  <c r="O27" i="4"/>
  <c r="Q19" i="12" s="1"/>
  <c r="O39" i="4"/>
  <c r="Q30" i="12" s="1"/>
  <c r="O24" i="4"/>
  <c r="Q16" i="12" s="1"/>
  <c r="O11" i="4"/>
  <c r="S44" i="4"/>
  <c r="S53" i="4"/>
  <c r="S24" i="4"/>
  <c r="I45" i="12" s="1"/>
  <c r="G7" i="13"/>
  <c r="S39" i="4"/>
  <c r="S43" i="4"/>
  <c r="S27" i="4"/>
  <c r="I48" i="12" s="1"/>
  <c r="S42" i="4"/>
  <c r="S11" i="4"/>
  <c r="S51" i="4" s="1"/>
  <c r="G16" i="13" l="1"/>
  <c r="L33" i="8"/>
  <c r="I75" i="12"/>
  <c r="I64" i="12"/>
  <c r="R33" i="12"/>
  <c r="Q42" i="4"/>
  <c r="I74" i="12"/>
  <c r="I63" i="12"/>
  <c r="G20" i="13" s="1"/>
  <c r="R16" i="12"/>
  <c r="Q24" i="4"/>
  <c r="O51" i="4"/>
  <c r="O53" i="4" s="1"/>
  <c r="Q3" i="12"/>
  <c r="R19" i="12"/>
  <c r="Q27" i="4"/>
  <c r="Q43" i="4"/>
  <c r="E5" i="13"/>
  <c r="Q7" i="4"/>
  <c r="R14" i="8"/>
  <c r="I60" i="12"/>
  <c r="I71" i="12"/>
  <c r="R30" i="12"/>
  <c r="Q39" i="4"/>
  <c r="S31" i="8"/>
  <c r="H31" i="8"/>
  <c r="P51" i="4"/>
  <c r="P53" i="4" s="1"/>
  <c r="R3" i="12"/>
  <c r="Q11" i="4"/>
  <c r="F18" i="13"/>
  <c r="J35" i="8"/>
  <c r="R34" i="12"/>
  <c r="Q44" i="4"/>
  <c r="E9" i="13" l="1"/>
  <c r="G60" i="12"/>
  <c r="F30" i="12"/>
  <c r="G71" i="12"/>
  <c r="G48" i="12"/>
  <c r="F19" i="12"/>
  <c r="G63" i="12"/>
  <c r="F33" i="12"/>
  <c r="G74" i="12"/>
  <c r="F3" i="12"/>
  <c r="Q51" i="4"/>
  <c r="F16" i="12"/>
  <c r="G45" i="12"/>
  <c r="G18" i="13"/>
  <c r="L35" i="8"/>
  <c r="F34" i="12"/>
  <c r="G64" i="12"/>
  <c r="G75" i="12"/>
  <c r="Q53" i="4"/>
  <c r="E7" i="13"/>
  <c r="E16" i="13" l="1"/>
  <c r="H33" i="8"/>
  <c r="E20" i="13"/>
  <c r="E18" i="13" l="1"/>
  <c r="H35" i="8"/>
</calcChain>
</file>

<file path=xl/comments1.xml><?xml version="1.0" encoding="utf-8"?>
<comments xmlns="http://schemas.openxmlformats.org/spreadsheetml/2006/main">
  <authors>
    <author>davidson</author>
  </authors>
  <commentList>
    <comment ref="D472" authorId="0" shapeId="0">
      <text>
        <r>
          <rPr>
            <b/>
            <sz val="8"/>
            <color indexed="81"/>
            <rFont val="Tahoma"/>
          </rPr>
          <t>davidson: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<sst xmlns="http://schemas.openxmlformats.org/spreadsheetml/2006/main" count="1023" uniqueCount="516">
  <si>
    <t>Corporate Budgeting Workbook</t>
  </si>
  <si>
    <t>RC NAME :</t>
  </si>
  <si>
    <t>CO NUMBER</t>
  </si>
  <si>
    <t>RC NUMBER</t>
  </si>
  <si>
    <t>This workbook includes the following features :</t>
  </si>
  <si>
    <t>All-inclusive</t>
  </si>
  <si>
    <t>This workbook encompasses every budgetary request.  All requested information</t>
  </si>
  <si>
    <t>have been included in this workbook.  If you complete this workbook, you will</t>
  </si>
  <si>
    <t xml:space="preserve">NOT NEED TO RE-KEY your budget into any other formats or the budget system. </t>
  </si>
  <si>
    <t>Your budgeting efforts, except for seeking final management approval, will be completed.</t>
  </si>
  <si>
    <t>Efficient</t>
  </si>
  <si>
    <t>This workbook is designed to make budgeting more efficient.</t>
  </si>
  <si>
    <t>Activity-</t>
  </si>
  <si>
    <t>The Detail and Capital worksheets will allow you to budget by activity or event and can be</t>
  </si>
  <si>
    <t>based</t>
  </si>
  <si>
    <t>kept for future purposes of variance explanations.  More commonly used detail</t>
  </si>
  <si>
    <t>Budgeting</t>
  </si>
  <si>
    <t xml:space="preserve">classes are shown on the Detail worksheet.  If you need an expanded worksheet with other </t>
  </si>
  <si>
    <t>detail classes, please contact Ron Davidson at 713-853-3823.</t>
  </si>
  <si>
    <t>Eliminate</t>
  </si>
  <si>
    <t>Upon finishing your detailed budget on Worksheets - Detail and  Capital,</t>
  </si>
  <si>
    <t>re-keying</t>
  </si>
  <si>
    <t>this workbook will automatically generate the Executive Summary and the Budget system</t>
  </si>
  <si>
    <t>data</t>
  </si>
  <si>
    <t>upload file.</t>
  </si>
  <si>
    <t>Automatically</t>
  </si>
  <si>
    <t>The Executive Summary will be prepared automatically linking information you</t>
  </si>
  <si>
    <t>prepares</t>
  </si>
  <si>
    <t>have entered in the Detail and Capital worksheets.  The Executive Summary</t>
  </si>
  <si>
    <t>Executive</t>
  </si>
  <si>
    <t>will be used for your Budget Review meetings with management.</t>
  </si>
  <si>
    <t>Summary</t>
  </si>
  <si>
    <t>Eliminates</t>
  </si>
  <si>
    <t>The Budget system upload file will be prepared automatically linking information you</t>
  </si>
  <si>
    <t>Budget system</t>
  </si>
  <si>
    <t>have entered in the Detail worksheet.  This means you will NOT need to re-enter this information</t>
  </si>
  <si>
    <t>in the Corporate Budget System.</t>
  </si>
  <si>
    <t>entry</t>
  </si>
  <si>
    <t xml:space="preserve">The Executive Summary, Capital Budget summary, Distributions to Business Units (if applicable), </t>
  </si>
  <si>
    <t>Headcount summary (if revised) and EIS Exhibit A are due to Corporate Financial Planning &amp; Analysis</t>
  </si>
  <si>
    <t>STEP ONE:</t>
  </si>
  <si>
    <t>PREPARE</t>
  </si>
  <si>
    <t>O&amp;M DETAIL</t>
  </si>
  <si>
    <t>STEP TWO:</t>
  </si>
  <si>
    <t>DISTRIBUTION</t>
  </si>
  <si>
    <t>OF O&amp;M COSTS</t>
  </si>
  <si>
    <t>(if applicable)</t>
  </si>
  <si>
    <t>STEP THREE:</t>
  </si>
  <si>
    <t xml:space="preserve">CAPITAL </t>
  </si>
  <si>
    <t>DETAIL</t>
  </si>
  <si>
    <t>STEP FOUR:</t>
  </si>
  <si>
    <t>REVIEW</t>
  </si>
  <si>
    <t>EXECUTIVE</t>
  </si>
  <si>
    <t>SUMMARY</t>
  </si>
  <si>
    <t>STEP FIVE:</t>
  </si>
  <si>
    <t>EIS EXHIBIT A</t>
  </si>
  <si>
    <t>STEP SIX:</t>
  </si>
  <si>
    <t>HEADCOUNT</t>
  </si>
  <si>
    <t>REPORT, only</t>
  </si>
  <si>
    <t>if revised</t>
  </si>
  <si>
    <t>OPTIONAL</t>
  </si>
  <si>
    <t>Please enter :</t>
  </si>
  <si>
    <t>1999 Plan</t>
  </si>
  <si>
    <t>2000 Plan</t>
  </si>
  <si>
    <t>2001 Plan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</si>
  <si>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</si>
  <si>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</si>
  <si>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</si>
  <si>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</si>
  <si>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</si>
  <si>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</si>
  <si>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</si>
  <si>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</si>
  <si>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</si>
  <si>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</si>
  <si>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</si>
  <si>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</si>
  <si>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</si>
  <si>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</si>
  <si>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</si>
  <si>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0000000888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</si>
  <si>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</si>
  <si>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</si>
  <si>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</si>
  <si>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</si>
  <si>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</si>
  <si>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</si>
  <si>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</si>
  <si>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0000000001</t>
  </si>
  <si>
    <t>Regular - USE INPUT AREA BELOW</t>
  </si>
  <si>
    <t>Overtime</t>
  </si>
  <si>
    <t>Other</t>
  </si>
  <si>
    <t>Subtotal</t>
  </si>
  <si>
    <t>OTHER SALARIES &amp; WAGES</t>
  </si>
  <si>
    <t>TOTAL SALARIES &amp; WAGES</t>
  </si>
  <si>
    <t>0000000052</t>
  </si>
  <si>
    <t>0000000054</t>
  </si>
  <si>
    <t>0000000057</t>
  </si>
  <si>
    <t>0000000058</t>
  </si>
  <si>
    <t>TOTAL EMPLOYEE EXPENSE</t>
  </si>
  <si>
    <t>0000000157</t>
  </si>
  <si>
    <t>AUDIT FEES</t>
  </si>
  <si>
    <t>LEGAL FEES</t>
  </si>
  <si>
    <t>OTHER OUTSIDE SERVICES</t>
  </si>
  <si>
    <t>OTHER REVENUE</t>
  </si>
  <si>
    <t>BENEFITS</t>
  </si>
  <si>
    <t>0000000552</t>
  </si>
  <si>
    <t>PAYROLL TAXES</t>
  </si>
  <si>
    <t>0000000557</t>
  </si>
  <si>
    <t>PAYROLL TAXES - CALC, except bonuses</t>
  </si>
  <si>
    <t>CORPORATE SERVICE COSTS</t>
  </si>
  <si>
    <t>ENRON PROPERTY &amp; SERVICES CO</t>
  </si>
  <si>
    <t>0000000845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</si>
  <si>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</si>
  <si>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</si>
  <si>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</si>
  <si>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</si>
  <si>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</si>
  <si>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</si>
  <si>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</si>
  <si>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</si>
  <si>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</si>
  <si>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</si>
  <si>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</si>
  <si>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</si>
  <si>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</si>
  <si>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</si>
  <si>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</si>
  <si>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</si>
  <si>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</si>
  <si>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Bonuses *</t>
  </si>
  <si>
    <t>* Please budget for payroll taxes related to all bonuses (variable pay, LTIP, annual incentive, etc.) in your RC in January.</t>
  </si>
  <si>
    <t>Distribution of Service Costs to Business Units</t>
  </si>
  <si>
    <t>PLAN</t>
  </si>
  <si>
    <t>ESTIMATE</t>
  </si>
  <si>
    <t>Total O&amp;M Expenses</t>
  </si>
  <si>
    <t>Distribution :</t>
  </si>
  <si>
    <t>Enter negatives for distributions</t>
  </si>
  <si>
    <t>Citrus Corp</t>
  </si>
  <si>
    <t>Clean Fuels - Methanol</t>
  </si>
  <si>
    <t>Clean Fuels - Mont Belvieu</t>
  </si>
  <si>
    <t>1A1</t>
  </si>
  <si>
    <t>Clean Fuels - MTBE</t>
  </si>
  <si>
    <t>ECT - N.A.</t>
  </si>
  <si>
    <t>Enron Corp</t>
  </si>
  <si>
    <t>Enron Energy Services</t>
  </si>
  <si>
    <t>Enron Engineering &amp; Construction</t>
  </si>
  <si>
    <t>Enron Management Inc</t>
  </si>
  <si>
    <t>Enron Oil and Gas</t>
  </si>
  <si>
    <t>Enron Property &amp; Services</t>
  </si>
  <si>
    <t>Enron Renewable Energy</t>
  </si>
  <si>
    <t>1F8</t>
  </si>
  <si>
    <t>Enron Wind Corp</t>
  </si>
  <si>
    <t>1S9</t>
  </si>
  <si>
    <t>EOTT Energy</t>
  </si>
  <si>
    <t>1U3</t>
  </si>
  <si>
    <t>Expat Services</t>
  </si>
  <si>
    <t>Florida Gas Transmission</t>
  </si>
  <si>
    <t>GPG Executive</t>
  </si>
  <si>
    <t>GPG Finance &amp; Accounting</t>
  </si>
  <si>
    <t>GPG Human Resources</t>
  </si>
  <si>
    <t>GPG Legal</t>
  </si>
  <si>
    <t>HPL Operations</t>
  </si>
  <si>
    <t>HPLP</t>
  </si>
  <si>
    <t>LRCO</t>
  </si>
  <si>
    <t>NBP Services</t>
  </si>
  <si>
    <t>Northern Natural Gas</t>
  </si>
  <si>
    <t>Northern Plains</t>
  </si>
  <si>
    <t>Operation Technical Support</t>
  </si>
  <si>
    <t>16R</t>
  </si>
  <si>
    <t>Transwestern</t>
  </si>
  <si>
    <t>Total Distributions</t>
  </si>
  <si>
    <t>NET EXPENSES</t>
  </si>
  <si>
    <t>DISTRIBUTION BASIS:</t>
  </si>
  <si>
    <t>THIS SCHEDULE IS DUE TO CORPORATE FINANCIAL PLANNING BY JULY 25</t>
  </si>
  <si>
    <t>Proposed Capital Budget</t>
  </si>
  <si>
    <t>Computer Costs</t>
  </si>
  <si>
    <t xml:space="preserve">  Systems Development</t>
  </si>
  <si>
    <t xml:space="preserve">  Computer Equipment</t>
  </si>
  <si>
    <t>Capital Budget per RC/Department</t>
  </si>
  <si>
    <t>PLEASE PROVIDE DESCRIPTION OF PROPOSED EXPENDITURES (examples) :</t>
  </si>
  <si>
    <t>System Development :</t>
  </si>
  <si>
    <t>Computer Equipment :</t>
  </si>
  <si>
    <t>Other :</t>
  </si>
  <si>
    <t>NOTE:  All Computer software purchased with a PC will be capitalized.  Software not purchased with a PC and under $1,000 must</t>
  </si>
  <si>
    <t xml:space="preserve">          be expensed and included in your individual RC budget.  All computer software &amp; hardware over $1,000 should be capitalized.</t>
  </si>
  <si>
    <t>Co. Number :</t>
  </si>
  <si>
    <t>RC Number :</t>
  </si>
  <si>
    <t>WORKSHEET NAME = SYSPLN99.XLS</t>
  </si>
  <si>
    <t xml:space="preserve"> </t>
  </si>
  <si>
    <t xml:space="preserve">EXHIBIT A </t>
  </si>
  <si>
    <t xml:space="preserve"> COMPANY/CORPORATE GROUP/FUNCTIONAL SERVICE UNIT:</t>
  </si>
  <si>
    <t>PART I</t>
  </si>
  <si>
    <t>NUMBER</t>
  </si>
  <si>
    <t>ANNUAL</t>
  </si>
  <si>
    <t>OF</t>
  </si>
  <si>
    <t>OPERATING</t>
  </si>
  <si>
    <t>PROJECT</t>
  </si>
  <si>
    <t>(Enron staff, EDS, third-party vendors, hardware,</t>
  </si>
  <si>
    <t>SYSTEMS</t>
  </si>
  <si>
    <t>EXPENSE</t>
  </si>
  <si>
    <t>CAPITAL</t>
  </si>
  <si>
    <t>software, network, etc.) planned by your business unit.</t>
  </si>
  <si>
    <t>EMPLOYEES</t>
  </si>
  <si>
    <t>DOLLARS</t>
  </si>
  <si>
    <t>1.  CAPITAL PROJECT COSTS</t>
  </si>
  <si>
    <t xml:space="preserve">        A.  NUMBER OF ENRON "SYSTEMS" EMPLOYEES</t>
  </si>
  <si>
    <t xml:space="preserve">        B.  SALARIES, WAGES, EXPENSES -- EMPLOYEES</t>
  </si>
  <si>
    <t xml:space="preserve">        C.  CONTRACT LABOR</t>
  </si>
  <si>
    <t xml:space="preserve">        D.  HARDWARE &amp; SOFTWARE</t>
  </si>
  <si>
    <t xml:space="preserve">        C.  OTHER</t>
  </si>
  <si>
    <t>2.  O&amp;M PROJECT COSTS</t>
  </si>
  <si>
    <t>3.  CORPORATE SERVICES</t>
  </si>
  <si>
    <t>4.  OTHER ENRON COSTS</t>
  </si>
  <si>
    <t xml:space="preserve">        A.  AMORTIZATION</t>
  </si>
  <si>
    <t xml:space="preserve">        B.  TELECOMMUNICATIONS</t>
  </si>
  <si>
    <t>TOTAL ENRON I.S. PLAN</t>
  </si>
  <si>
    <t>PART II</t>
  </si>
  <si>
    <t>AMOUNTS ($)</t>
  </si>
  <si>
    <t>1.  EDS LABOR  (T&amp;M HRUs, Fixed-Price, etc.)</t>
  </si>
  <si>
    <t>2.  OTHER SERVICES (Hardware, Software, Training, etc.)</t>
  </si>
  <si>
    <t>TOTAL EDS I.S. PLAN</t>
  </si>
  <si>
    <t>PREPARED BY:</t>
  </si>
  <si>
    <t>DATE:</t>
  </si>
  <si>
    <t>Headcount Summary</t>
  </si>
  <si>
    <t xml:space="preserve">Co. </t>
  </si>
  <si>
    <t>RC No.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</si>
  <si>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</si>
  <si>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</si>
  <si>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</si>
  <si>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</si>
  <si>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</si>
  <si>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</si>
  <si>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</si>
  <si>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</si>
  <si>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</si>
  <si>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</si>
  <si>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</si>
  <si>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</si>
  <si>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</si>
  <si>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</si>
  <si>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</si>
  <si>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Total  *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</si>
  <si>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</si>
  <si>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</si>
  <si>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</si>
  <si>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</si>
  <si>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</si>
  <si>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</si>
  <si>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</si>
  <si>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</si>
  <si>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Total Employees by Location *</t>
  </si>
  <si>
    <t>* Totals should tie.</t>
  </si>
  <si>
    <t>Executive Review Summary</t>
  </si>
  <si>
    <t>(Thousands of Dollars)</t>
  </si>
  <si>
    <t>Operating &amp; Strategic Plan *</t>
  </si>
  <si>
    <t>Cost Categories</t>
  </si>
  <si>
    <t>Salaries &amp; Wages</t>
  </si>
  <si>
    <t>Employee Expense</t>
  </si>
  <si>
    <t>Supplies &amp; Expense</t>
  </si>
  <si>
    <t xml:space="preserve">Outside Services </t>
  </si>
  <si>
    <t>Rents</t>
  </si>
  <si>
    <t>Other O&amp;M Expense</t>
  </si>
  <si>
    <t>Other Computer Costs</t>
  </si>
  <si>
    <t>Advertising &amp; Promotion</t>
  </si>
  <si>
    <t>Payroll Taxes</t>
  </si>
  <si>
    <t>Benefits</t>
  </si>
  <si>
    <t>EIS Charges</t>
  </si>
  <si>
    <t>Rent and other EPCS</t>
  </si>
  <si>
    <t>Other corporate charges</t>
  </si>
  <si>
    <t>Total Gross Expense</t>
  </si>
  <si>
    <t>Less: distributions to business units</t>
  </si>
  <si>
    <t>Net Expense</t>
  </si>
  <si>
    <t>Capital Budget</t>
  </si>
  <si>
    <t>Headcount (year-end)</t>
  </si>
  <si>
    <t>RecordType</t>
  </si>
  <si>
    <t>Year</t>
  </si>
  <si>
    <t>RCNumber</t>
  </si>
  <si>
    <t>CompanyNumber</t>
  </si>
  <si>
    <t>Expense Category</t>
  </si>
  <si>
    <t>AnnualAmt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</si>
  <si>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</si>
  <si>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</si>
  <si>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</si>
  <si>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</si>
  <si>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</si>
  <si>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</si>
  <si>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</si>
  <si>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</si>
  <si>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</si>
  <si>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</si>
  <si>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</si>
  <si>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1A</t>
  </si>
  <si>
    <t>0000000901</t>
  </si>
  <si>
    <t>0000000903</t>
  </si>
  <si>
    <t>0000000908</t>
  </si>
  <si>
    <t>0000000909</t>
  </si>
  <si>
    <t>0000000910</t>
  </si>
  <si>
    <t>0000000912</t>
  </si>
  <si>
    <t>0000000913</t>
  </si>
  <si>
    <t>0000000915</t>
  </si>
  <si>
    <t>0000000919</t>
  </si>
  <si>
    <t>0000000920</t>
  </si>
  <si>
    <t>0000000921</t>
  </si>
  <si>
    <t>0000000922</t>
  </si>
  <si>
    <t>0000000923</t>
  </si>
  <si>
    <t>0000000924</t>
  </si>
  <si>
    <t>0000000927</t>
  </si>
  <si>
    <t>0000000930</t>
  </si>
  <si>
    <t>0000000936</t>
  </si>
  <si>
    <t>0000000942</t>
  </si>
  <si>
    <t>0000000948</t>
  </si>
  <si>
    <t>0000000949</t>
  </si>
  <si>
    <t>0000000951</t>
  </si>
  <si>
    <t>0000000953</t>
  </si>
  <si>
    <t>0000000954</t>
  </si>
  <si>
    <t>0000000958</t>
  </si>
  <si>
    <t>0000000959</t>
  </si>
  <si>
    <t>0000000965</t>
  </si>
  <si>
    <t>0000000973</t>
  </si>
  <si>
    <t>0000000981</t>
  </si>
  <si>
    <t>0000000983</t>
  </si>
  <si>
    <t>0000000984</t>
  </si>
  <si>
    <t>0000000985</t>
  </si>
  <si>
    <t>3A</t>
  </si>
  <si>
    <t>1997P</t>
  </si>
  <si>
    <t>1997E</t>
  </si>
  <si>
    <t>1998P</t>
  </si>
  <si>
    <t>1999P</t>
  </si>
  <si>
    <t>2000P</t>
  </si>
  <si>
    <t>DETAIL PAGE</t>
  </si>
  <si>
    <t>ALLOC</t>
  </si>
  <si>
    <t>EXEC SUMM</t>
  </si>
  <si>
    <t>UPLOAD FILE</t>
  </si>
  <si>
    <t>San Juan Gas Company</t>
  </si>
  <si>
    <t>ECM</t>
  </si>
  <si>
    <t>Co</t>
  </si>
  <si>
    <t>#</t>
  </si>
  <si>
    <t>Detail</t>
  </si>
  <si>
    <t>Class</t>
  </si>
  <si>
    <t>Risk Assessment &amp; Control</t>
  </si>
  <si>
    <t>Enron Europe</t>
  </si>
  <si>
    <t>Enron Global Products (Europe)</t>
  </si>
  <si>
    <t>MMay</t>
  </si>
  <si>
    <t>0000000946</t>
  </si>
  <si>
    <t>0000000988</t>
  </si>
  <si>
    <t>0000000989</t>
  </si>
  <si>
    <t>(Ron Davidson) by Friday, August 6, 1999, 9:00 a.m.</t>
  </si>
  <si>
    <t>2000 - 2002 CORPORATE BUDGETING WORKBOOK - MAIN MENU</t>
  </si>
  <si>
    <t>2002 Plan</t>
  </si>
  <si>
    <t>2000 - 2002 Operating &amp; Strategic Plan</t>
  </si>
  <si>
    <t>1999 Estimate</t>
  </si>
  <si>
    <t>* Please provide variance explanations for any significant changes from the 1999 estimate.</t>
  </si>
  <si>
    <t>2000 ANNUAL ENRON &amp; EDS INFORMATION SYSTEMS PLANS</t>
  </si>
  <si>
    <t>2000 ANNUAL ENRON INFORMATION SYSTEMS PLAN</t>
  </si>
  <si>
    <t>Enter all 2000 information technology expenditures</t>
  </si>
  <si>
    <t>2000 ANNUAL EDS INFORMATION SYSTEMS PLAN</t>
  </si>
  <si>
    <t>This is an estimate, not a commitment; enter total 2000 amounts to be purchased from EDS.</t>
  </si>
  <si>
    <t>2000-2002 OPERATING &amp; STRATEGIC PLAN</t>
  </si>
  <si>
    <t>12/31/99</t>
  </si>
  <si>
    <t>REMEMBER TO USE NEW SAP CODING</t>
  </si>
  <si>
    <t xml:space="preserve"> MSA CODING</t>
  </si>
  <si>
    <t>KEY ONLY IN BLUE CELLS</t>
  </si>
  <si>
    <t>SALARIES &amp; WAGES charged to Projects</t>
  </si>
  <si>
    <t>Other - Credit to Total Salaries &amp; Wages</t>
  </si>
  <si>
    <t>0000000053</t>
  </si>
  <si>
    <t>0000000161</t>
  </si>
  <si>
    <t>GENERAL BUSINESS</t>
  </si>
  <si>
    <t>OTHER ALLOCATIONS</t>
  </si>
  <si>
    <t>EMP - CLUB DUES</t>
  </si>
  <si>
    <t>EMP - COURSE REG FEES, TUITION</t>
  </si>
  <si>
    <t>EMP - OTHER EXPENSE</t>
  </si>
  <si>
    <t>EMP - GROUP MEALS &amp; ENTERTAINMENT</t>
  </si>
  <si>
    <t>EMP - MEALS &amp; ENTERTAINMENT</t>
  </si>
  <si>
    <t>EMP - PROFESSIONAL MEMBERSHIP DUES</t>
  </si>
  <si>
    <t>CHARITABLE CONTRIBUTIONS</t>
  </si>
  <si>
    <t>POLITICAL CONTRIBUTIONS</t>
  </si>
  <si>
    <t>EMP - TRAVEL &amp; LODGING</t>
  </si>
  <si>
    <t>ADVERTSING EXPENSE</t>
  </si>
  <si>
    <t>BAD DEBT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</si>
  <si>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</si>
  <si>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</si>
  <si>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</si>
  <si>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</si>
  <si>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</si>
  <si>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</si>
  <si>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</si>
  <si>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</si>
  <si>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</si>
  <si>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</si>
  <si>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</si>
  <si>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FACILITY FUEL</t>
  </si>
  <si>
    <t>INJURIES &amp; DAMAGES</t>
  </si>
  <si>
    <t>RIGHT OF WAY LEASE</t>
  </si>
  <si>
    <t>RIGHT OF WAY - OTHER</t>
  </si>
  <si>
    <t>LUBRICANTS</t>
  </si>
  <si>
    <t>MATERIALS &amp; SUPPLIES - NON-STOCK</t>
  </si>
  <si>
    <t>MATERIALS &amp; SUPPLIES - STOCK</t>
  </si>
  <si>
    <t>PRICE VARIANCE ACCOUNT</t>
  </si>
  <si>
    <t>PROVISION FOR SCRAP</t>
  </si>
  <si>
    <t>SUPPLIES &amp; EXPENSE</t>
  </si>
  <si>
    <t>RENT EXPENSE - PERSONAL PROPERTY</t>
  </si>
  <si>
    <t>RENT EXPENSE - REAL PROPERTY</t>
  </si>
  <si>
    <t>UTILITIES</t>
  </si>
  <si>
    <t>VEHICLE FUEL</t>
  </si>
  <si>
    <t>Examples:</t>
  </si>
  <si>
    <t>THIS SCHEDULE IS DUE TO CORPORATE FINANCIAL PLANNING BY AUGUST 6</t>
  </si>
  <si>
    <t>Overtime Pay</t>
  </si>
  <si>
    <t>OTHER G&amp;A EXPENSES AND REVENUES</t>
  </si>
  <si>
    <t xml:space="preserve">TOTAL OTHER G&amp;A </t>
  </si>
  <si>
    <t>SETTLEMENT ACCT - R&amp;D</t>
  </si>
  <si>
    <t>SETTLEMENT ACCT - SALARIES &amp; WAGES</t>
  </si>
  <si>
    <t>SETTLEMENT ACCT - CIAC</t>
  </si>
  <si>
    <t>SETTLEMENT ACCT - EMPLOYEE EXPENSE</t>
  </si>
  <si>
    <t>SETTLEMENT ACCT - MATERIAL</t>
  </si>
  <si>
    <t>SETTLEMENT ACCT - OTHER</t>
  </si>
  <si>
    <t>SETTLEMENT ACCT - PENSION &amp; BENEFITS</t>
  </si>
  <si>
    <t>EMPLOYEE EXPENSE</t>
  </si>
  <si>
    <t>BENEFITS - CALCULATED, U.S. EMPLOYEES</t>
  </si>
  <si>
    <t>DO NOT ENTER FIELDS IN RED</t>
  </si>
  <si>
    <t>2000-2002  Budget Worksheet</t>
  </si>
  <si>
    <t>2000 Plan By SAP Account</t>
  </si>
  <si>
    <t>066/657/697</t>
  </si>
  <si>
    <t>174/175/351/352/604</t>
  </si>
  <si>
    <t>601/602</t>
  </si>
  <si>
    <t>204/214</t>
  </si>
  <si>
    <t>206/247/647</t>
  </si>
  <si>
    <t>201/203</t>
  </si>
  <si>
    <t>165/197/660</t>
  </si>
  <si>
    <t>252/297</t>
  </si>
  <si>
    <t>109/251</t>
  </si>
  <si>
    <t>164/301/347</t>
  </si>
  <si>
    <t>101</t>
  </si>
  <si>
    <t>AMORTIZATION EXPENSE</t>
  </si>
  <si>
    <t>AMORT UNDERGROUND STORAGE LND</t>
  </si>
  <si>
    <t>AMORT OF OTHER LTD GAS</t>
  </si>
  <si>
    <t>REGULATORY DEBITS</t>
  </si>
  <si>
    <t>REGULATORY CREDITS</t>
  </si>
  <si>
    <t>MISCELLANEOUS AMORTIZATIONS</t>
  </si>
  <si>
    <t>DEPLETION EXPENSE</t>
  </si>
  <si>
    <t>DEPRECIATION EXPENSE</t>
  </si>
  <si>
    <t>DD&amp;A EXPENSE DP</t>
  </si>
  <si>
    <t>SALES/USE TAX EXPENSE</t>
  </si>
  <si>
    <t>GROSS RECEIPTS TAX EXPENSE</t>
  </si>
  <si>
    <t>PAYROLL TAX - FUTA - UTILITY</t>
  </si>
  <si>
    <t>PAYROLL TAX - SUTA - UTILITY</t>
  </si>
  <si>
    <t>SEVERANCE TAX EXPENSE</t>
  </si>
  <si>
    <t>EXCISE TAX EXPENSE</t>
  </si>
  <si>
    <t>VALUE ADDED TAX EXPENSE</t>
  </si>
  <si>
    <t>CONSORTIUM TAX EXPENSE</t>
  </si>
  <si>
    <t>CORPORATION TAX EXPENSE</t>
  </si>
  <si>
    <t>TAX EXPENSE - OTHER</t>
  </si>
  <si>
    <t>PAYROLL TAX - FUTA - DEDUCT</t>
  </si>
  <si>
    <t>PAYROLL TAX - SUTA - DEDUCT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</si>
  <si>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</si>
  <si>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</si>
  <si>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</si>
  <si>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</si>
  <si>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</si>
  <si>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</si>
  <si>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</si>
  <si>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</si>
  <si>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Other G&amp;A</t>
  </si>
  <si>
    <t>Cost Center</t>
  </si>
  <si>
    <t>Account</t>
  </si>
  <si>
    <t>HPL</t>
  </si>
  <si>
    <t>Portland General Electric</t>
  </si>
  <si>
    <t>Enron Transition Co</t>
  </si>
  <si>
    <t>Citrus Trading</t>
  </si>
  <si>
    <t>ECI</t>
  </si>
  <si>
    <t>17H</t>
  </si>
  <si>
    <t>40Y</t>
  </si>
  <si>
    <t>AZURIX</t>
  </si>
  <si>
    <t>NEPCO</t>
  </si>
  <si>
    <t>Enter Here For Example :  Based on Historical Usage, Headcount,  Level of Historical Projects, Transaction Count, Gross Margin, Gross Revenue</t>
  </si>
  <si>
    <t>0000000916</t>
  </si>
  <si>
    <t>0000000925</t>
  </si>
  <si>
    <t>0000000938</t>
  </si>
  <si>
    <t>0000000991</t>
  </si>
  <si>
    <t>0000000992</t>
  </si>
  <si>
    <t>NOT IN USE.  NOT LOADED INTO MSA</t>
  </si>
  <si>
    <t>SAP</t>
  </si>
  <si>
    <t>ACCT</t>
  </si>
  <si>
    <t>PROFESSIONAL</t>
  </si>
  <si>
    <t>Research Group - Kaminski</t>
  </si>
  <si>
    <t>Computers for new hires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</si>
  <si>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</si>
  <si>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</si>
  <si>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</si>
  <si>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</si>
  <si>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</si>
  <si>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</si>
  <si>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</si>
  <si>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</si>
  <si>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</si>
  <si>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</si>
  <si>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</si>
  <si>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</si>
  <si>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</si>
  <si>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</si>
  <si>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</si>
  <si>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</si>
  <si>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</si>
  <si>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</si>
  <si>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</si>
  <si>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</si>
  <si>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</si>
  <si>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</si>
  <si>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</si>
  <si>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</si>
  <si>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</si>
  <si>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</si>
  <si>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</si>
  <si>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</si>
  <si>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</si>
  <si>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Enron Intermational , consol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</si>
</sst>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168" formatCode="0000000000"/>
    <numFmt numFmtId="169" formatCode="000"/>
    <numFmt numFmtId="170" formatCode="0000"/>
    <numFmt numFmtId="172" formatCode="m/d/yy\ h:mm\ AM/PM"/>
    <numFmt numFmtId="176" formatCode="000\-00\-0000"/>
    <numFmt numFmtId="177" formatCode="0_);\(0\)"/>
  </numFmts>
  <fonts count="55" x14ac:knownFonts="1">
    <font>
      <sz val="12"/>
      <name val="Arial"/>
    </font>
    <font>
      <sz val="12"/>
      <name val="Arial"/>
    </font>
    <font>
      <b/>
      <i/>
      <sz val="20"/>
      <name val="Arial"/>
    </font>
    <font>
      <sz val="12"/>
      <color indexed="12"/>
      <name val="Arial"/>
    </font>
    <font>
      <b/>
      <sz val="12"/>
      <name val="Arial"/>
    </font>
    <font>
      <b/>
      <sz val="14"/>
      <color indexed="10"/>
      <name val="Arial"/>
    </font>
    <font>
      <b/>
      <i/>
      <sz val="20"/>
      <color indexed="9"/>
      <name val="Arial"/>
      <family val="2"/>
    </font>
    <font>
      <sz val="12"/>
      <color indexed="9"/>
      <name val="Arial"/>
      <family val="2"/>
    </font>
    <font>
      <b/>
      <i/>
      <sz val="14"/>
      <color indexed="9"/>
      <name val="Arial"/>
      <family val="2"/>
    </font>
    <font>
      <sz val="12"/>
      <color indexed="13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2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u/>
      <sz val="12"/>
      <color indexed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10"/>
      <name val="Helv"/>
    </font>
    <font>
      <b/>
      <sz val="10"/>
      <name val="Helv"/>
    </font>
    <font>
      <b/>
      <sz val="11"/>
      <name val="Helv"/>
    </font>
    <font>
      <sz val="12"/>
      <name val="Helv"/>
    </font>
    <font>
      <sz val="8"/>
      <name val="Helv"/>
    </font>
    <font>
      <sz val="10"/>
      <color indexed="22"/>
      <name val="Helv"/>
    </font>
    <font>
      <i/>
      <sz val="8"/>
      <color indexed="10"/>
      <name val="Arial"/>
      <family val="2"/>
    </font>
    <font>
      <i/>
      <u/>
      <sz val="12"/>
      <color indexed="10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sz val="14"/>
      <name val="Arial"/>
      <family val="2"/>
    </font>
    <font>
      <b/>
      <u/>
      <sz val="12"/>
      <name val="Arial"/>
    </font>
    <font>
      <sz val="11"/>
      <name val="Helv"/>
    </font>
    <font>
      <sz val="8"/>
      <color indexed="81"/>
      <name val="Tahoma"/>
    </font>
    <font>
      <b/>
      <sz val="8"/>
      <color indexed="81"/>
      <name val="Tahoma"/>
    </font>
    <font>
      <sz val="12"/>
      <color indexed="48"/>
      <name val="Arial"/>
      <family val="2"/>
    </font>
    <font>
      <b/>
      <sz val="14"/>
      <color indexed="12"/>
      <name val="Arial"/>
      <family val="2"/>
    </font>
    <font>
      <b/>
      <u/>
      <sz val="12"/>
      <color indexed="10"/>
      <name val="Arial"/>
      <family val="2"/>
    </font>
    <font>
      <sz val="10"/>
      <color indexed="10"/>
      <name val="Arial"/>
      <family val="2"/>
    </font>
    <font>
      <u/>
      <sz val="12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  <bgColor indexed="9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447">
    <xf numFmtId="37" fontId="0" fillId="0" borderId="0" xfId="0"/>
    <xf numFmtId="37" fontId="5" fillId="2" borderId="0" xfId="0" applyFont="1" applyFill="1" applyAlignment="1">
      <alignment horizontal="centerContinuous"/>
    </xf>
    <xf numFmtId="37" fontId="0" fillId="2" borderId="0" xfId="0" applyFill="1" applyAlignment="1">
      <alignment horizontal="centerContinuous"/>
    </xf>
    <xf numFmtId="37" fontId="4" fillId="2" borderId="0" xfId="0" applyFont="1" applyFill="1" applyAlignment="1">
      <alignment horizontal="centerContinuous"/>
    </xf>
    <xf numFmtId="37" fontId="0" fillId="2" borderId="0" xfId="0" applyFill="1"/>
    <xf numFmtId="37" fontId="4" fillId="0" borderId="0" xfId="0" applyFont="1"/>
    <xf numFmtId="37" fontId="4" fillId="0" borderId="0" xfId="0" applyFont="1" applyAlignment="1">
      <alignment horizontal="center"/>
    </xf>
    <xf numFmtId="37" fontId="4" fillId="0" borderId="1" xfId="0" applyFont="1" applyBorder="1" applyAlignment="1">
      <alignment horizontal="center"/>
    </xf>
    <xf numFmtId="37" fontId="3" fillId="0" borderId="0" xfId="0" applyFont="1"/>
    <xf numFmtId="37" fontId="1" fillId="0" borderId="0" xfId="0" applyFont="1"/>
    <xf numFmtId="37" fontId="3" fillId="0" borderId="1" xfId="0" applyFont="1" applyBorder="1"/>
    <xf numFmtId="37" fontId="0" fillId="0" borderId="1" xfId="0" applyBorder="1"/>
    <xf numFmtId="37" fontId="4" fillId="0" borderId="2" xfId="0" applyFont="1" applyBorder="1"/>
    <xf numFmtId="37" fontId="10" fillId="0" borderId="0" xfId="0" applyFont="1"/>
    <xf numFmtId="37" fontId="11" fillId="0" borderId="0" xfId="0" applyFont="1"/>
    <xf numFmtId="37" fontId="12" fillId="0" borderId="0" xfId="0" applyFont="1"/>
    <xf numFmtId="168" fontId="0" fillId="0" borderId="0" xfId="0" applyNumberFormat="1" applyAlignment="1">
      <alignment horizontal="left"/>
    </xf>
    <xf numFmtId="37" fontId="13" fillId="0" borderId="0" xfId="0" applyFont="1"/>
    <xf numFmtId="37" fontId="14" fillId="0" borderId="0" xfId="0" applyFont="1"/>
    <xf numFmtId="37" fontId="4" fillId="0" borderId="0" xfId="0" applyFont="1" applyBorder="1" applyAlignment="1">
      <alignment horizontal="center"/>
    </xf>
    <xf numFmtId="37" fontId="4" fillId="0" borderId="3" xfId="0" applyFont="1" applyBorder="1" applyAlignment="1">
      <alignment horizontal="centerContinuous"/>
    </xf>
    <xf numFmtId="37" fontId="12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" fillId="3" borderId="0" xfId="0" applyFont="1" applyFill="1"/>
    <xf numFmtId="37" fontId="6" fillId="3" borderId="0" xfId="0" applyFont="1" applyFill="1" applyAlignment="1">
      <alignment horizontal="centerContinuous"/>
    </xf>
    <xf numFmtId="37" fontId="2" fillId="3" borderId="0" xfId="0" applyFont="1" applyFill="1" applyAlignment="1">
      <alignment horizontal="centerContinuous"/>
    </xf>
    <xf numFmtId="37" fontId="7" fillId="3" borderId="0" xfId="0" applyFont="1" applyFill="1"/>
    <xf numFmtId="37" fontId="8" fillId="3" borderId="0" xfId="0" applyFont="1" applyFill="1" applyAlignment="1">
      <alignment horizontal="center"/>
    </xf>
    <xf numFmtId="37" fontId="9" fillId="3" borderId="0" xfId="0" applyFont="1" applyFill="1"/>
    <xf numFmtId="37" fontId="16" fillId="3" borderId="0" xfId="0" applyFont="1" applyFill="1"/>
    <xf numFmtId="37" fontId="7" fillId="4" borderId="0" xfId="0" applyFont="1" applyFill="1"/>
    <xf numFmtId="37" fontId="17" fillId="2" borderId="0" xfId="0" applyFont="1" applyFill="1"/>
    <xf numFmtId="37" fontId="18" fillId="0" borderId="0" xfId="0" applyFont="1"/>
    <xf numFmtId="37" fontId="14" fillId="2" borderId="0" xfId="0" applyFont="1" applyFill="1"/>
    <xf numFmtId="0" fontId="0" fillId="0" borderId="0" xfId="0" applyNumberFormat="1"/>
    <xf numFmtId="22" fontId="15" fillId="0" borderId="0" xfId="0" applyNumberFormat="1" applyFont="1" applyAlignment="1">
      <alignment horizontal="centerContinuous"/>
    </xf>
    <xf numFmtId="169" fontId="0" fillId="0" borderId="0" xfId="0" applyNumberFormat="1"/>
    <xf numFmtId="37" fontId="11" fillId="2" borderId="0" xfId="0" applyFont="1" applyFill="1"/>
    <xf numFmtId="37" fontId="19" fillId="0" borderId="0" xfId="0" applyFont="1"/>
    <xf numFmtId="37" fontId="0" fillId="0" borderId="2" xfId="0" applyBorder="1"/>
    <xf numFmtId="37" fontId="0" fillId="0" borderId="4" xfId="0" applyBorder="1"/>
    <xf numFmtId="169" fontId="4" fillId="0" borderId="0" xfId="0" applyNumberFormat="1" applyFont="1"/>
    <xf numFmtId="37" fontId="18" fillId="0" borderId="1" xfId="0" applyFont="1" applyBorder="1"/>
    <xf numFmtId="37" fontId="4" fillId="3" borderId="0" xfId="0" applyFont="1" applyFill="1"/>
    <xf numFmtId="37" fontId="0" fillId="0" borderId="5" xfId="0" applyBorder="1"/>
    <xf numFmtId="0" fontId="0" fillId="0" borderId="5" xfId="0" applyNumberFormat="1" applyBorder="1" applyAlignment="1">
      <alignment horizontal="center"/>
    </xf>
    <xf numFmtId="37" fontId="12" fillId="0" borderId="0" xfId="0" applyFont="1" applyAlignment="1">
      <alignment horizontal="center"/>
    </xf>
    <xf numFmtId="37" fontId="0" fillId="0" borderId="0" xfId="0" applyBorder="1"/>
    <xf numFmtId="37" fontId="21" fillId="0" borderId="0" xfId="0" applyFont="1" applyAlignment="1">
      <alignment horizontal="centerContinuous"/>
    </xf>
    <xf numFmtId="37" fontId="22" fillId="0" borderId="0" xfId="0" applyFont="1" applyAlignment="1">
      <alignment horizontal="centerContinuous"/>
    </xf>
    <xf numFmtId="37" fontId="23" fillId="0" borderId="0" xfId="0" applyFont="1" applyAlignment="1">
      <alignment horizontal="centerContinuous"/>
    </xf>
    <xf numFmtId="37" fontId="24" fillId="0" borderId="0" xfId="0" applyFont="1" applyAlignment="1">
      <alignment horizontal="centerContinuous"/>
    </xf>
    <xf numFmtId="37" fontId="24" fillId="0" borderId="0" xfId="0" applyFont="1" applyAlignment="1">
      <alignment horizontal="right"/>
    </xf>
    <xf numFmtId="37" fontId="24" fillId="0" borderId="0" xfId="0" applyFont="1"/>
    <xf numFmtId="37" fontId="0" fillId="0" borderId="0" xfId="0" applyBorder="1" applyAlignment="1">
      <alignment horizontal="center"/>
    </xf>
    <xf numFmtId="37" fontId="0" fillId="0" borderId="5" xfId="0" quotePrefix="1" applyBorder="1" applyAlignment="1">
      <alignment horizontal="center"/>
    </xf>
    <xf numFmtId="37" fontId="25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6" xfId="0" applyBorder="1"/>
    <xf numFmtId="37" fontId="25" fillId="0" borderId="0" xfId="0" applyFont="1"/>
    <xf numFmtId="170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38" fontId="0" fillId="0" borderId="0" xfId="0" applyNumberFormat="1"/>
    <xf numFmtId="0" fontId="0" fillId="0" borderId="0" xfId="0" applyNumberFormat="1" applyAlignment="1">
      <alignment horizontal="left"/>
    </xf>
    <xf numFmtId="37" fontId="11" fillId="0" borderId="0" xfId="0" applyFont="1" applyAlignment="1">
      <alignment horizontal="center"/>
    </xf>
    <xf numFmtId="37" fontId="4" fillId="0" borderId="7" xfId="0" applyFont="1" applyBorder="1"/>
    <xf numFmtId="37" fontId="0" fillId="0" borderId="7" xfId="0" applyBorder="1"/>
    <xf numFmtId="37" fontId="4" fillId="0" borderId="8" xfId="0" applyFont="1" applyBorder="1" applyAlignment="1">
      <alignment horizontal="center"/>
    </xf>
    <xf numFmtId="37" fontId="4" fillId="0" borderId="7" xfId="0" applyFont="1" applyBorder="1" applyAlignment="1">
      <alignment horizontal="center"/>
    </xf>
    <xf numFmtId="37" fontId="13" fillId="0" borderId="7" xfId="0" applyFont="1" applyBorder="1"/>
    <xf numFmtId="172" fontId="27" fillId="0" borderId="0" xfId="0" applyNumberFormat="1" applyFont="1" applyAlignment="1">
      <alignment horizontal="centerContinuous"/>
    </xf>
    <xf numFmtId="37" fontId="28" fillId="2" borderId="0" xfId="0" applyFont="1" applyFill="1"/>
    <xf numFmtId="37" fontId="26" fillId="5" borderId="9" xfId="0" applyFont="1" applyFill="1" applyBorder="1"/>
    <xf numFmtId="37" fontId="26" fillId="5" borderId="1" xfId="0" applyFont="1" applyFill="1" applyBorder="1"/>
    <xf numFmtId="37" fontId="26" fillId="5" borderId="0" xfId="0" applyFont="1" applyFill="1" applyBorder="1"/>
    <xf numFmtId="37" fontId="20" fillId="0" borderId="0" xfId="0" applyFont="1"/>
    <xf numFmtId="37" fontId="30" fillId="0" borderId="0" xfId="0" applyFont="1"/>
    <xf numFmtId="37" fontId="30" fillId="0" borderId="4" xfId="0" applyFont="1" applyBorder="1"/>
    <xf numFmtId="37" fontId="31" fillId="5" borderId="10" xfId="0" applyFont="1" applyFill="1" applyBorder="1"/>
    <xf numFmtId="37" fontId="31" fillId="5" borderId="11" xfId="0" applyFont="1" applyFill="1" applyBorder="1"/>
    <xf numFmtId="37" fontId="31" fillId="5" borderId="12" xfId="0" applyFont="1" applyFill="1" applyBorder="1"/>
    <xf numFmtId="37" fontId="30" fillId="0" borderId="0" xfId="0" applyFont="1" applyBorder="1"/>
    <xf numFmtId="37" fontId="32" fillId="0" borderId="2" xfId="0" applyFont="1" applyBorder="1"/>
    <xf numFmtId="37" fontId="32" fillId="0" borderId="0" xfId="0" applyFont="1" applyAlignment="1">
      <alignment horizontal="centerContinuous"/>
    </xf>
    <xf numFmtId="37" fontId="20" fillId="0" borderId="0" xfId="0" applyFont="1" applyAlignment="1">
      <alignment horizontal="left"/>
    </xf>
    <xf numFmtId="37" fontId="12" fillId="0" borderId="0" xfId="0" applyFont="1" applyAlignment="1">
      <alignment horizontal="left"/>
    </xf>
    <xf numFmtId="37" fontId="4" fillId="0" borderId="3" xfId="0" applyFont="1" applyBorder="1" applyAlignment="1">
      <alignment horizontal="left"/>
    </xf>
    <xf numFmtId="37" fontId="30" fillId="0" borderId="0" xfId="0" applyFont="1" applyAlignment="1">
      <alignment horizontal="left"/>
    </xf>
    <xf numFmtId="37" fontId="4" fillId="0" borderId="0" xfId="0" applyFont="1" applyAlignment="1">
      <alignment horizontal="left"/>
    </xf>
    <xf numFmtId="37" fontId="4" fillId="0" borderId="13" xfId="0" applyFont="1" applyBorder="1" applyAlignment="1">
      <alignment horizontal="left"/>
    </xf>
    <xf numFmtId="37" fontId="11" fillId="0" borderId="0" xfId="0" applyFont="1" applyAlignment="1">
      <alignment horizontal="left"/>
    </xf>
    <xf numFmtId="37" fontId="24" fillId="0" borderId="0" xfId="0" applyFont="1" applyAlignment="1" applyProtection="1">
      <alignment horizontal="centerContinuous"/>
    </xf>
    <xf numFmtId="37" fontId="33" fillId="0" borderId="0" xfId="0" applyFont="1" applyAlignment="1" applyProtection="1">
      <alignment horizontal="centerContinuous"/>
    </xf>
    <xf numFmtId="37" fontId="34" fillId="0" borderId="0" xfId="0" applyFont="1" applyAlignment="1" applyProtection="1">
      <alignment horizontal="centerContinuous"/>
    </xf>
    <xf numFmtId="37" fontId="35" fillId="0" borderId="0" xfId="0" applyFont="1" applyBorder="1" applyAlignment="1" applyProtection="1">
      <alignment horizontal="left"/>
    </xf>
    <xf numFmtId="37" fontId="33" fillId="0" borderId="0" xfId="0" applyFont="1" applyBorder="1" applyProtection="1"/>
    <xf numFmtId="37" fontId="33" fillId="0" borderId="5" xfId="0" applyFont="1" applyBorder="1" applyProtection="1"/>
    <xf numFmtId="37" fontId="36" fillId="0" borderId="0" xfId="0" applyFont="1" applyBorder="1" applyAlignment="1" applyProtection="1">
      <alignment horizontal="left"/>
    </xf>
    <xf numFmtId="37" fontId="36" fillId="0" borderId="0" xfId="0" applyFont="1" applyBorder="1" applyProtection="1"/>
    <xf numFmtId="37" fontId="23" fillId="0" borderId="14" xfId="0" applyFont="1" applyBorder="1" applyAlignment="1" applyProtection="1">
      <alignment horizontal="centerContinuous"/>
    </xf>
    <xf numFmtId="37" fontId="36" fillId="0" borderId="15" xfId="0" applyFont="1" applyBorder="1" applyAlignment="1" applyProtection="1">
      <alignment horizontal="centerContinuous"/>
    </xf>
    <xf numFmtId="37" fontId="0" fillId="0" borderId="16" xfId="0" applyBorder="1" applyAlignment="1" applyProtection="1">
      <alignment horizontal="centerContinuous"/>
    </xf>
    <xf numFmtId="37" fontId="24" fillId="0" borderId="17" xfId="0" applyFont="1" applyBorder="1" applyAlignment="1" applyProtection="1">
      <alignment horizontal="centerContinuous"/>
    </xf>
    <xf numFmtId="37" fontId="0" fillId="0" borderId="0" xfId="0" applyBorder="1" applyAlignment="1" applyProtection="1">
      <alignment horizontal="centerContinuous"/>
    </xf>
    <xf numFmtId="37" fontId="37" fillId="0" borderId="1" xfId="0" applyFont="1" applyBorder="1" applyAlignment="1" applyProtection="1">
      <alignment horizontal="centerContinuous"/>
    </xf>
    <xf numFmtId="5" fontId="37" fillId="0" borderId="1" xfId="0" applyNumberFormat="1" applyFont="1" applyBorder="1" applyAlignment="1" applyProtection="1">
      <alignment horizontal="centerContinuous"/>
    </xf>
    <xf numFmtId="5" fontId="37" fillId="0" borderId="18" xfId="0" applyNumberFormat="1" applyFont="1" applyBorder="1" applyAlignment="1" applyProtection="1">
      <alignment horizontal="centerContinuous"/>
    </xf>
    <xf numFmtId="37" fontId="36" fillId="0" borderId="19" xfId="0" applyFont="1" applyBorder="1" applyProtection="1"/>
    <xf numFmtId="37" fontId="36" fillId="0" borderId="20" xfId="0" applyFont="1" applyBorder="1" applyProtection="1"/>
    <xf numFmtId="37" fontId="0" fillId="0" borderId="7" xfId="0" applyBorder="1" applyProtection="1"/>
    <xf numFmtId="37" fontId="0" fillId="0" borderId="21" xfId="0" applyBorder="1" applyAlignment="1" applyProtection="1">
      <alignment horizontal="center"/>
    </xf>
    <xf numFmtId="37" fontId="0" fillId="0" borderId="22" xfId="0" applyBorder="1" applyAlignment="1" applyProtection="1">
      <alignment horizontal="center"/>
    </xf>
    <xf numFmtId="37" fontId="35" fillId="0" borderId="23" xfId="0" applyFont="1" applyBorder="1" applyAlignment="1" applyProtection="1">
      <alignment horizontal="left"/>
    </xf>
    <xf numFmtId="37" fontId="36" fillId="0" borderId="24" xfId="0" applyFont="1" applyBorder="1" applyProtection="1"/>
    <xf numFmtId="37" fontId="0" fillId="0" borderId="7" xfId="0" applyBorder="1" applyAlignment="1" applyProtection="1">
      <alignment horizontal="center"/>
    </xf>
    <xf numFmtId="37" fontId="0" fillId="0" borderId="25" xfId="0" applyBorder="1" applyAlignment="1" applyProtection="1">
      <alignment horizontal="center"/>
    </xf>
    <xf numFmtId="37" fontId="35" fillId="0" borderId="17" xfId="0" applyFont="1" applyBorder="1" applyAlignment="1" applyProtection="1">
      <alignment horizontal="left"/>
    </xf>
    <xf numFmtId="37" fontId="36" fillId="0" borderId="26" xfId="0" applyFont="1" applyBorder="1" applyAlignment="1" applyProtection="1">
      <alignment horizontal="centerContinuous"/>
    </xf>
    <xf numFmtId="37" fontId="0" fillId="0" borderId="27" xfId="0" applyBorder="1" applyAlignment="1" applyProtection="1">
      <alignment horizontal="center"/>
    </xf>
    <xf numFmtId="37" fontId="0" fillId="0" borderId="28" xfId="0" applyBorder="1" applyAlignment="1" applyProtection="1">
      <alignment horizontal="center"/>
    </xf>
    <xf numFmtId="37" fontId="37" fillId="0" borderId="23" xfId="0" applyFont="1" applyBorder="1" applyProtection="1"/>
    <xf numFmtId="37" fontId="0" fillId="0" borderId="0" xfId="0" applyBorder="1" applyProtection="1"/>
    <xf numFmtId="37" fontId="0" fillId="0" borderId="24" xfId="0" applyBorder="1" applyProtection="1"/>
    <xf numFmtId="37" fontId="33" fillId="0" borderId="23" xfId="0" applyFont="1" applyBorder="1" applyAlignment="1" applyProtection="1">
      <alignment horizontal="left"/>
    </xf>
    <xf numFmtId="38" fontId="33" fillId="0" borderId="29" xfId="0" applyNumberFormat="1" applyFont="1" applyBorder="1" applyProtection="1"/>
    <xf numFmtId="37" fontId="37" fillId="0" borderId="0" xfId="0" applyFont="1" applyBorder="1" applyProtection="1"/>
    <xf numFmtId="38" fontId="33" fillId="0" borderId="30" xfId="0" applyNumberFormat="1" applyFont="1" applyBorder="1" applyProtection="1"/>
    <xf numFmtId="37" fontId="33" fillId="0" borderId="7" xfId="0" applyFont="1" applyBorder="1" applyProtection="1"/>
    <xf numFmtId="37" fontId="0" fillId="0" borderId="31" xfId="0" applyBorder="1" applyProtection="1"/>
    <xf numFmtId="37" fontId="36" fillId="0" borderId="0" xfId="0" applyFont="1" applyProtection="1"/>
    <xf numFmtId="37" fontId="0" fillId="0" borderId="0" xfId="0" applyProtection="1"/>
    <xf numFmtId="37" fontId="37" fillId="0" borderId="0" xfId="0" applyFont="1" applyProtection="1"/>
    <xf numFmtId="5" fontId="37" fillId="0" borderId="0" xfId="0" applyNumberFormat="1" applyFont="1" applyProtection="1"/>
    <xf numFmtId="37" fontId="0" fillId="0" borderId="1" xfId="0" applyBorder="1" applyProtection="1"/>
    <xf numFmtId="37" fontId="37" fillId="0" borderId="1" xfId="0" applyFont="1" applyBorder="1" applyProtection="1"/>
    <xf numFmtId="38" fontId="33" fillId="1" borderId="32" xfId="0" applyNumberFormat="1" applyFont="1" applyFill="1" applyBorder="1" applyAlignment="1" applyProtection="1"/>
    <xf numFmtId="38" fontId="33" fillId="0" borderId="33" xfId="0" applyNumberFormat="1" applyFont="1" applyBorder="1" applyProtection="1"/>
    <xf numFmtId="37" fontId="37" fillId="0" borderId="31" xfId="0" applyFont="1" applyBorder="1" applyProtection="1"/>
    <xf numFmtId="37" fontId="0" fillId="0" borderId="31" xfId="0" applyBorder="1"/>
    <xf numFmtId="5" fontId="37" fillId="0" borderId="34" xfId="0" applyNumberFormat="1" applyFont="1" applyBorder="1" applyProtection="1"/>
    <xf numFmtId="37" fontId="24" fillId="0" borderId="5" xfId="0" applyFont="1" applyBorder="1" applyAlignment="1" applyProtection="1">
      <alignment horizontal="left"/>
    </xf>
    <xf numFmtId="37" fontId="36" fillId="0" borderId="5" xfId="0" applyFont="1" applyBorder="1" applyProtection="1"/>
    <xf numFmtId="37" fontId="0" fillId="0" borderId="0" xfId="0" applyAlignment="1" applyProtection="1">
      <alignment horizontal="left"/>
    </xf>
    <xf numFmtId="37" fontId="33" fillId="0" borderId="0" xfId="0" applyFont="1"/>
    <xf numFmtId="37" fontId="37" fillId="0" borderId="0" xfId="0" applyFont="1"/>
    <xf numFmtId="37" fontId="11" fillId="0" borderId="0" xfId="0" applyFont="1" applyAlignment="1">
      <alignment horizontal="centerContinuous"/>
    </xf>
    <xf numFmtId="0" fontId="11" fillId="0" borderId="0" xfId="0" applyNumberFormat="1" applyFont="1" applyAlignment="1">
      <alignment horizontal="center"/>
    </xf>
    <xf numFmtId="0" fontId="11" fillId="0" borderId="0" xfId="0" applyNumberFormat="1" applyFont="1"/>
    <xf numFmtId="0" fontId="11" fillId="0" borderId="5" xfId="0" applyNumberFormat="1" applyFont="1" applyBorder="1" applyAlignment="1">
      <alignment horizontal="centerContinuous"/>
    </xf>
    <xf numFmtId="37" fontId="11" fillId="0" borderId="5" xfId="0" applyFont="1" applyBorder="1"/>
    <xf numFmtId="0" fontId="11" fillId="0" borderId="5" xfId="0" applyNumberFormat="1" applyFont="1" applyBorder="1" applyAlignment="1">
      <alignment horizontal="center"/>
    </xf>
    <xf numFmtId="37" fontId="11" fillId="0" borderId="0" xfId="0" applyNumberFormat="1" applyFont="1" applyProtection="1"/>
    <xf numFmtId="37" fontId="11" fillId="0" borderId="10" xfId="0" applyNumberFormat="1" applyFont="1" applyBorder="1" applyProtection="1"/>
    <xf numFmtId="37" fontId="11" fillId="0" borderId="35" xfId="0" applyNumberFormat="1" applyFont="1" applyBorder="1" applyProtection="1"/>
    <xf numFmtId="37" fontId="11" fillId="0" borderId="11" xfId="0" applyNumberFormat="1" applyFont="1" applyBorder="1" applyProtection="1"/>
    <xf numFmtId="37" fontId="11" fillId="0" borderId="36" xfId="0" applyNumberFormat="1" applyFont="1" applyBorder="1" applyProtection="1"/>
    <xf numFmtId="37" fontId="11" fillId="0" borderId="12" xfId="0" applyNumberFormat="1" applyFont="1" applyBorder="1" applyProtection="1"/>
    <xf numFmtId="37" fontId="11" fillId="0" borderId="37" xfId="0" applyNumberFormat="1" applyFont="1" applyBorder="1" applyProtection="1"/>
    <xf numFmtId="37" fontId="11" fillId="0" borderId="5" xfId="0" applyNumberFormat="1" applyFont="1" applyBorder="1" applyProtection="1"/>
    <xf numFmtId="37" fontId="11" fillId="0" borderId="6" xfId="0" applyNumberFormat="1" applyFont="1" applyBorder="1" applyProtection="1"/>
    <xf numFmtId="37" fontId="39" fillId="0" borderId="0" xfId="0" applyFont="1"/>
    <xf numFmtId="37" fontId="15" fillId="0" borderId="0" xfId="0" applyFont="1"/>
    <xf numFmtId="37" fontId="15" fillId="0" borderId="0" xfId="0" applyFont="1" applyAlignment="1">
      <alignment horizontal="centerContinuous"/>
    </xf>
    <xf numFmtId="37" fontId="11" fillId="0" borderId="0" xfId="0" applyNumberFormat="1" applyFont="1" applyAlignment="1" applyProtection="1">
      <alignment horizontal="centerContinuous"/>
    </xf>
    <xf numFmtId="37" fontId="32" fillId="0" borderId="0" xfId="0" applyFont="1"/>
    <xf numFmtId="37" fontId="12" fillId="0" borderId="0" xfId="0" quotePrefix="1" applyFont="1" applyAlignment="1">
      <alignment horizontal="centerContinuous"/>
    </xf>
    <xf numFmtId="37" fontId="33" fillId="1" borderId="7" xfId="0" applyFont="1" applyFill="1" applyBorder="1"/>
    <xf numFmtId="5" fontId="33" fillId="0" borderId="12" xfId="0" applyNumberFormat="1" applyFont="1" applyBorder="1" applyAlignment="1" applyProtection="1">
      <alignment horizontal="centerContinuous"/>
    </xf>
    <xf numFmtId="5" fontId="33" fillId="1" borderId="12" xfId="0" applyNumberFormat="1" applyFont="1" applyFill="1" applyBorder="1" applyProtection="1"/>
    <xf numFmtId="6" fontId="36" fillId="0" borderId="38" xfId="0" applyNumberFormat="1" applyFont="1" applyBorder="1"/>
    <xf numFmtId="37" fontId="36" fillId="0" borderId="38" xfId="0" applyFont="1" applyBorder="1"/>
    <xf numFmtId="6" fontId="36" fillId="0" borderId="39" xfId="0" applyNumberFormat="1" applyFont="1" applyBorder="1"/>
    <xf numFmtId="37" fontId="40" fillId="0" borderId="0" xfId="0" applyFont="1"/>
    <xf numFmtId="37" fontId="17" fillId="0" borderId="0" xfId="0" applyFont="1"/>
    <xf numFmtId="37" fontId="12" fillId="0" borderId="1" xfId="0" applyFont="1" applyBorder="1" applyAlignment="1">
      <alignment horizontal="centerContinuous"/>
    </xf>
    <xf numFmtId="37" fontId="11" fillId="0" borderId="1" xfId="0" applyFont="1" applyBorder="1" applyAlignment="1">
      <alignment horizontal="centerContinuous"/>
    </xf>
    <xf numFmtId="0" fontId="12" fillId="0" borderId="1" xfId="0" applyNumberFormat="1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/>
    <xf numFmtId="37" fontId="11" fillId="0" borderId="40" xfId="0" applyFont="1" applyBorder="1"/>
    <xf numFmtId="37" fontId="41" fillId="0" borderId="0" xfId="0" applyFont="1"/>
    <xf numFmtId="37" fontId="42" fillId="0" borderId="0" xfId="0" applyFont="1"/>
    <xf numFmtId="14" fontId="11" fillId="0" borderId="0" xfId="0" applyNumberFormat="1" applyFont="1" applyAlignment="1">
      <alignment horizontal="centerContinuous"/>
    </xf>
    <xf numFmtId="37" fontId="11" fillId="0" borderId="0" xfId="0" applyFont="1" applyAlignment="1">
      <alignment horizontal="right"/>
    </xf>
    <xf numFmtId="37" fontId="27" fillId="0" borderId="0" xfId="0" applyFont="1" applyAlignment="1"/>
    <xf numFmtId="37" fontId="27" fillId="0" borderId="0" xfId="0" applyFont="1"/>
    <xf numFmtId="170" fontId="27" fillId="0" borderId="0" xfId="0" applyNumberFormat="1" applyFont="1" applyAlignment="1">
      <alignment horizontal="left"/>
    </xf>
    <xf numFmtId="37" fontId="43" fillId="0" borderId="0" xfId="0" applyFont="1" applyAlignment="1">
      <alignment horizontal="centerContinuous"/>
    </xf>
    <xf numFmtId="37" fontId="43" fillId="0" borderId="0" xfId="0" applyFont="1"/>
    <xf numFmtId="170" fontId="32" fillId="0" borderId="0" xfId="0" applyNumberFormat="1" applyFont="1" applyAlignment="1">
      <alignment horizontal="left"/>
    </xf>
    <xf numFmtId="37" fontId="14" fillId="0" borderId="0" xfId="0" applyFont="1" applyBorder="1" applyAlignment="1">
      <alignment horizontal="center"/>
    </xf>
    <xf numFmtId="37" fontId="0" fillId="2" borderId="0" xfId="0" applyFill="1" applyAlignment="1">
      <alignment horizontal="center"/>
    </xf>
    <xf numFmtId="37" fontId="14" fillId="2" borderId="0" xfId="0" applyFont="1" applyFill="1" applyAlignment="1">
      <alignment horizontal="center"/>
    </xf>
    <xf numFmtId="37" fontId="11" fillId="2" borderId="0" xfId="0" applyFont="1" applyFill="1" applyAlignment="1">
      <alignment horizontal="center"/>
    </xf>
    <xf numFmtId="37" fontId="26" fillId="6" borderId="7" xfId="0" applyFont="1" applyFill="1" applyBorder="1"/>
    <xf numFmtId="37" fontId="0" fillId="6" borderId="7" xfId="0" applyFill="1" applyBorder="1"/>
    <xf numFmtId="37" fontId="4" fillId="6" borderId="8" xfId="0" applyFont="1" applyFill="1" applyBorder="1" applyAlignment="1">
      <alignment horizontal="center"/>
    </xf>
    <xf numFmtId="37" fontId="4" fillId="6" borderId="7" xfId="0" applyFont="1" applyFill="1" applyBorder="1" applyAlignment="1">
      <alignment horizontal="center"/>
    </xf>
    <xf numFmtId="37" fontId="20" fillId="6" borderId="7" xfId="0" applyFont="1" applyFill="1" applyBorder="1"/>
    <xf numFmtId="37" fontId="12" fillId="6" borderId="41" xfId="0" applyFont="1" applyFill="1" applyBorder="1"/>
    <xf numFmtId="37" fontId="30" fillId="6" borderId="41" xfId="0" applyFont="1" applyFill="1" applyBorder="1"/>
    <xf numFmtId="37" fontId="30" fillId="6" borderId="7" xfId="0" applyFont="1" applyFill="1" applyBorder="1"/>
    <xf numFmtId="37" fontId="13" fillId="6" borderId="7" xfId="0" applyFont="1" applyFill="1" applyBorder="1"/>
    <xf numFmtId="37" fontId="4" fillId="6" borderId="42" xfId="0" applyFont="1" applyFill="1" applyBorder="1"/>
    <xf numFmtId="37" fontId="13" fillId="6" borderId="8" xfId="0" applyFont="1" applyFill="1" applyBorder="1"/>
    <xf numFmtId="37" fontId="4" fillId="6" borderId="7" xfId="0" applyFont="1" applyFill="1" applyBorder="1"/>
    <xf numFmtId="22" fontId="15" fillId="6" borderId="7" xfId="0" applyNumberFormat="1" applyFont="1" applyFill="1" applyBorder="1" applyAlignment="1">
      <alignment horizontal="centerContinuous"/>
    </xf>
    <xf numFmtId="37" fontId="12" fillId="6" borderId="7" xfId="0" applyFont="1" applyFill="1" applyBorder="1" applyAlignment="1">
      <alignment horizontal="center"/>
    </xf>
    <xf numFmtId="37" fontId="12" fillId="6" borderId="7" xfId="0" applyFont="1" applyFill="1" applyBorder="1"/>
    <xf numFmtId="37" fontId="0" fillId="0" borderId="0" xfId="0" applyFill="1" applyBorder="1"/>
    <xf numFmtId="0" fontId="4" fillId="0" borderId="11" xfId="0" applyNumberFormat="1" applyFont="1" applyBorder="1" applyAlignment="1">
      <alignment horizontal="center"/>
    </xf>
    <xf numFmtId="37" fontId="4" fillId="0" borderId="12" xfId="0" applyFont="1" applyBorder="1" applyAlignment="1">
      <alignment horizontal="center"/>
    </xf>
    <xf numFmtId="37" fontId="4" fillId="0" borderId="11" xfId="0" applyFont="1" applyBorder="1" applyAlignment="1">
      <alignment horizontal="center"/>
    </xf>
    <xf numFmtId="37" fontId="4" fillId="0" borderId="11" xfId="0" applyFont="1" applyBorder="1"/>
    <xf numFmtId="37" fontId="0" fillId="0" borderId="11" xfId="0" applyBorder="1"/>
    <xf numFmtId="37" fontId="0" fillId="0" borderId="3" xfId="0" applyBorder="1"/>
    <xf numFmtId="37" fontId="0" fillId="0" borderId="43" xfId="0" applyBorder="1"/>
    <xf numFmtId="0" fontId="4" fillId="0" borderId="7" xfId="0" applyNumberFormat="1" applyFont="1" applyBorder="1" applyAlignment="1">
      <alignment horizontal="center"/>
    </xf>
    <xf numFmtId="37" fontId="19" fillId="0" borderId="7" xfId="0" applyFont="1" applyBorder="1"/>
    <xf numFmtId="37" fontId="0" fillId="0" borderId="41" xfId="0" applyBorder="1"/>
    <xf numFmtId="37" fontId="0" fillId="0" borderId="42" xfId="0" applyBorder="1"/>
    <xf numFmtId="37" fontId="11" fillId="0" borderId="0" xfId="0" applyNumberFormat="1" applyFont="1" applyBorder="1" applyProtection="1"/>
    <xf numFmtId="37" fontId="12" fillId="0" borderId="3" xfId="0" applyFont="1" applyBorder="1" applyAlignment="1">
      <alignment horizontal="left"/>
    </xf>
    <xf numFmtId="37" fontId="13" fillId="0" borderId="0" xfId="0" applyFont="1" applyBorder="1"/>
    <xf numFmtId="37" fontId="13" fillId="0" borderId="36" xfId="0" applyFont="1" applyBorder="1"/>
    <xf numFmtId="37" fontId="0" fillId="0" borderId="36" xfId="0" applyBorder="1"/>
    <xf numFmtId="37" fontId="44" fillId="2" borderId="0" xfId="0" applyFont="1" applyFill="1"/>
    <xf numFmtId="37" fontId="20" fillId="7" borderId="4" xfId="0" applyFont="1" applyFill="1" applyBorder="1"/>
    <xf numFmtId="37" fontId="20" fillId="7" borderId="13" xfId="0" applyFont="1" applyFill="1" applyBorder="1"/>
    <xf numFmtId="37" fontId="13" fillId="0" borderId="11" xfId="0" applyFont="1" applyBorder="1"/>
    <xf numFmtId="172" fontId="15" fillId="0" borderId="0" xfId="0" applyNumberFormat="1" applyFont="1" applyAlignment="1">
      <alignment horizontal="centerContinuous"/>
    </xf>
    <xf numFmtId="37" fontId="1" fillId="4" borderId="0" xfId="0" applyFont="1" applyFill="1"/>
    <xf numFmtId="37" fontId="1" fillId="4" borderId="0" xfId="0" applyFont="1" applyFill="1" applyAlignment="1"/>
    <xf numFmtId="37" fontId="8" fillId="4" borderId="0" xfId="0" applyFont="1" applyFill="1" applyAlignment="1">
      <alignment horizontal="centerContinuous"/>
    </xf>
    <xf numFmtId="37" fontId="4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quotePrefix="1" applyNumberFormat="1" applyAlignment="1">
      <alignment horizontal="center"/>
    </xf>
    <xf numFmtId="37" fontId="12" fillId="0" borderId="4" xfId="0" applyFont="1" applyFill="1" applyBorder="1"/>
    <xf numFmtId="1" fontId="0" fillId="0" borderId="0" xfId="0" applyNumberFormat="1" applyAlignment="1">
      <alignment horizontal="left"/>
    </xf>
    <xf numFmtId="1" fontId="11" fillId="0" borderId="0" xfId="0" applyNumberFormat="1" applyFont="1" applyAlignment="1">
      <alignment horizontal="left"/>
    </xf>
    <xf numFmtId="1" fontId="0" fillId="0" borderId="0" xfId="0" applyNumberFormat="1"/>
    <xf numFmtId="1" fontId="0" fillId="0" borderId="0" xfId="0" quotePrefix="1" applyNumberFormat="1" applyAlignment="1">
      <alignment horizontal="left"/>
    </xf>
    <xf numFmtId="0" fontId="12" fillId="0" borderId="0" xfId="0" applyNumberFormat="1" applyFont="1" applyBorder="1" applyAlignment="1">
      <alignment horizontal="center"/>
    </xf>
    <xf numFmtId="37" fontId="29" fillId="6" borderId="8" xfId="0" applyFont="1" applyFill="1" applyBorder="1" applyAlignment="1">
      <alignment horizontal="center"/>
    </xf>
    <xf numFmtId="37" fontId="26" fillId="0" borderId="0" xfId="0" applyFont="1"/>
    <xf numFmtId="168" fontId="0" fillId="0" borderId="0" xfId="0" quotePrefix="1" applyNumberFormat="1" applyAlignment="1">
      <alignment horizontal="left"/>
    </xf>
    <xf numFmtId="37" fontId="14" fillId="6" borderId="7" xfId="0" applyFont="1" applyFill="1" applyBorder="1"/>
    <xf numFmtId="37" fontId="0" fillId="0" borderId="8" xfId="0" applyBorder="1" applyProtection="1"/>
    <xf numFmtId="37" fontId="33" fillId="8" borderId="7" xfId="0" applyFont="1" applyFill="1" applyBorder="1" applyProtection="1"/>
    <xf numFmtId="37" fontId="38" fillId="8" borderId="25" xfId="0" applyFont="1" applyFill="1" applyBorder="1" applyProtection="1"/>
    <xf numFmtId="37" fontId="33" fillId="8" borderId="25" xfId="0" applyFont="1" applyFill="1" applyBorder="1" applyProtection="1"/>
    <xf numFmtId="37" fontId="0" fillId="0" borderId="23" xfId="0" applyBorder="1" applyAlignment="1" applyProtection="1">
      <alignment horizontal="left"/>
    </xf>
    <xf numFmtId="37" fontId="37" fillId="0" borderId="24" xfId="0" applyFont="1" applyBorder="1" applyProtection="1"/>
    <xf numFmtId="37" fontId="37" fillId="0" borderId="7" xfId="0" applyFont="1" applyBorder="1" applyProtection="1"/>
    <xf numFmtId="37" fontId="37" fillId="0" borderId="23" xfId="0" applyFont="1" applyBorder="1" applyAlignment="1" applyProtection="1">
      <alignment horizontal="left"/>
    </xf>
    <xf numFmtId="37" fontId="33" fillId="1" borderId="18" xfId="0" applyFont="1" applyFill="1" applyBorder="1"/>
    <xf numFmtId="37" fontId="33" fillId="1" borderId="36" xfId="0" applyFont="1" applyFill="1" applyBorder="1"/>
    <xf numFmtId="37" fontId="33" fillId="1" borderId="25" xfId="0" applyFont="1" applyFill="1" applyBorder="1"/>
    <xf numFmtId="37" fontId="33" fillId="8" borderId="7" xfId="0" applyNumberFormat="1" applyFont="1" applyFill="1" applyBorder="1" applyProtection="1"/>
    <xf numFmtId="37" fontId="38" fillId="8" borderId="25" xfId="0" applyNumberFormat="1" applyFont="1" applyFill="1" applyBorder="1" applyProtection="1"/>
    <xf numFmtId="37" fontId="37" fillId="0" borderId="44" xfId="0" applyFont="1" applyBorder="1" applyProtection="1"/>
    <xf numFmtId="37" fontId="33" fillId="8" borderId="8" xfId="0" applyFont="1" applyFill="1" applyBorder="1" applyProtection="1"/>
    <xf numFmtId="37" fontId="37" fillId="0" borderId="45" xfId="0" applyFont="1" applyBorder="1" applyProtection="1"/>
    <xf numFmtId="37" fontId="37" fillId="0" borderId="8" xfId="0" applyFont="1" applyBorder="1" applyProtection="1"/>
    <xf numFmtId="37" fontId="33" fillId="0" borderId="8" xfId="0" applyFont="1" applyBorder="1" applyProtection="1"/>
    <xf numFmtId="37" fontId="33" fillId="8" borderId="46" xfId="0" applyFont="1" applyFill="1" applyBorder="1" applyProtection="1"/>
    <xf numFmtId="37" fontId="0" fillId="0" borderId="23" xfId="0" applyBorder="1" applyProtection="1"/>
    <xf numFmtId="37" fontId="37" fillId="0" borderId="36" xfId="0" applyFont="1" applyBorder="1" applyProtection="1"/>
    <xf numFmtId="37" fontId="36" fillId="0" borderId="7" xfId="0" applyFont="1" applyBorder="1" applyProtection="1"/>
    <xf numFmtId="37" fontId="36" fillId="0" borderId="25" xfId="0" applyFont="1" applyBorder="1" applyProtection="1"/>
    <xf numFmtId="37" fontId="24" fillId="0" borderId="47" xfId="0" applyFont="1" applyBorder="1" applyAlignment="1" applyProtection="1">
      <alignment horizontal="center"/>
    </xf>
    <xf numFmtId="38" fontId="36" fillId="0" borderId="38" xfId="0" applyNumberFormat="1" applyFont="1" applyBorder="1"/>
    <xf numFmtId="37" fontId="0" fillId="0" borderId="48" xfId="0" applyBorder="1"/>
    <xf numFmtId="5" fontId="0" fillId="0" borderId="0" xfId="0" applyNumberFormat="1" applyBorder="1"/>
    <xf numFmtId="37" fontId="0" fillId="0" borderId="15" xfId="0" applyBorder="1" applyAlignment="1" applyProtection="1">
      <alignment horizontal="centerContinuous"/>
    </xf>
    <xf numFmtId="37" fontId="37" fillId="0" borderId="15" xfId="0" applyFont="1" applyBorder="1" applyAlignment="1" applyProtection="1">
      <alignment horizontal="centerContinuous"/>
    </xf>
    <xf numFmtId="37" fontId="0" fillId="0" borderId="15" xfId="0" applyBorder="1" applyAlignment="1">
      <alignment horizontal="centerContinuous"/>
    </xf>
    <xf numFmtId="5" fontId="37" fillId="0" borderId="15" xfId="0" applyNumberFormat="1" applyFont="1" applyBorder="1" applyAlignment="1" applyProtection="1">
      <alignment horizontal="centerContinuous"/>
    </xf>
    <xf numFmtId="37" fontId="37" fillId="0" borderId="16" xfId="0" applyFont="1" applyBorder="1" applyAlignment="1" applyProtection="1">
      <alignment horizontal="centerContinuous"/>
    </xf>
    <xf numFmtId="37" fontId="45" fillId="0" borderId="0" xfId="0" applyFont="1" applyBorder="1" applyAlignment="1" applyProtection="1">
      <alignment horizontal="centerContinuous"/>
    </xf>
    <xf numFmtId="37" fontId="45" fillId="0" borderId="0" xfId="0" applyFont="1" applyAlignment="1">
      <alignment horizontal="centerContinuous"/>
    </xf>
    <xf numFmtId="5" fontId="45" fillId="0" borderId="0" xfId="0" applyNumberFormat="1" applyFont="1" applyBorder="1" applyAlignment="1" applyProtection="1">
      <alignment horizontal="centerContinuous"/>
    </xf>
    <xf numFmtId="37" fontId="45" fillId="0" borderId="18" xfId="0" applyFont="1" applyBorder="1" applyAlignment="1" applyProtection="1">
      <alignment horizontal="centerContinuous"/>
    </xf>
    <xf numFmtId="37" fontId="0" fillId="0" borderId="9" xfId="0" applyBorder="1" applyProtection="1"/>
    <xf numFmtId="37" fontId="37" fillId="0" borderId="9" xfId="0" applyFont="1" applyBorder="1" applyProtection="1"/>
    <xf numFmtId="37" fontId="0" fillId="0" borderId="9" xfId="0" applyBorder="1"/>
    <xf numFmtId="5" fontId="37" fillId="0" borderId="10" xfId="0" applyNumberFormat="1" applyFont="1" applyBorder="1" applyAlignment="1" applyProtection="1">
      <alignment horizontal="centerContinuous"/>
    </xf>
    <xf numFmtId="37" fontId="37" fillId="0" borderId="49" xfId="0" applyFont="1" applyBorder="1" applyAlignment="1" applyProtection="1">
      <alignment horizontal="centerContinuous"/>
    </xf>
    <xf numFmtId="5" fontId="37" fillId="0" borderId="12" xfId="0" applyNumberFormat="1" applyFont="1" applyBorder="1" applyAlignment="1" applyProtection="1">
      <alignment horizontal="centerContinuous"/>
    </xf>
    <xf numFmtId="5" fontId="37" fillId="0" borderId="32" xfId="0" applyNumberFormat="1" applyFont="1" applyBorder="1" applyAlignment="1" applyProtection="1">
      <alignment horizontal="centerContinuous"/>
    </xf>
    <xf numFmtId="37" fontId="36" fillId="0" borderId="23" xfId="0" applyFont="1" applyBorder="1" applyProtection="1"/>
    <xf numFmtId="37" fontId="33" fillId="0" borderId="50" xfId="0" applyFont="1" applyBorder="1" applyAlignment="1" applyProtection="1">
      <alignment horizontal="left"/>
    </xf>
    <xf numFmtId="5" fontId="37" fillId="0" borderId="10" xfId="0" applyNumberFormat="1" applyFont="1" applyBorder="1" applyProtection="1"/>
    <xf numFmtId="38" fontId="37" fillId="0" borderId="49" xfId="0" applyNumberFormat="1" applyFont="1" applyBorder="1" applyAlignment="1" applyProtection="1"/>
    <xf numFmtId="6" fontId="36" fillId="0" borderId="51" xfId="0" applyNumberFormat="1" applyFont="1" applyBorder="1" applyAlignment="1" applyProtection="1"/>
    <xf numFmtId="37" fontId="34" fillId="0" borderId="5" xfId="0" applyFont="1" applyBorder="1" applyProtection="1"/>
    <xf numFmtId="177" fontId="24" fillId="0" borderId="1" xfId="0" applyNumberFormat="1" applyFont="1" applyBorder="1" applyAlignment="1">
      <alignment horizontal="right"/>
    </xf>
    <xf numFmtId="22" fontId="27" fillId="6" borderId="7" xfId="0" applyNumberFormat="1" applyFont="1" applyFill="1" applyBorder="1" applyAlignment="1">
      <alignment horizontal="centerContinuous"/>
    </xf>
    <xf numFmtId="37" fontId="0" fillId="6" borderId="8" xfId="0" applyFill="1" applyBorder="1"/>
    <xf numFmtId="37" fontId="4" fillId="0" borderId="4" xfId="0" applyFont="1" applyBorder="1" applyAlignment="1">
      <alignment horizontal="centerContinuous"/>
    </xf>
    <xf numFmtId="37" fontId="11" fillId="0" borderId="4" xfId="0" applyFont="1" applyBorder="1" applyAlignment="1">
      <alignment horizontal="centerContinuous"/>
    </xf>
    <xf numFmtId="37" fontId="0" fillId="6" borderId="52" xfId="0" applyFill="1" applyBorder="1"/>
    <xf numFmtId="37" fontId="13" fillId="7" borderId="3" xfId="0" applyFont="1" applyFill="1" applyBorder="1"/>
    <xf numFmtId="170" fontId="48" fillId="7" borderId="41" xfId="0" applyNumberFormat="1" applyFont="1" applyFill="1" applyBorder="1"/>
    <xf numFmtId="1" fontId="31" fillId="5" borderId="10" xfId="0" applyNumberFormat="1" applyFont="1" applyFill="1" applyBorder="1"/>
    <xf numFmtId="1" fontId="31" fillId="5" borderId="11" xfId="0" applyNumberFormat="1" applyFont="1" applyFill="1" applyBorder="1"/>
    <xf numFmtId="1" fontId="31" fillId="5" borderId="12" xfId="0" applyNumberFormat="1" applyFont="1" applyFill="1" applyBorder="1"/>
    <xf numFmtId="1" fontId="4" fillId="0" borderId="0" xfId="0" applyNumberFormat="1" applyFont="1" applyAlignment="1">
      <alignment horizontal="center"/>
    </xf>
    <xf numFmtId="1" fontId="4" fillId="0" borderId="3" xfId="0" applyNumberFormat="1" applyFont="1" applyBorder="1" applyAlignment="1">
      <alignment horizontal="centerContinuous"/>
    </xf>
    <xf numFmtId="1" fontId="12" fillId="0" borderId="0" xfId="0" applyNumberFormat="1" applyFont="1" applyAlignment="1">
      <alignment horizontal="left"/>
    </xf>
    <xf numFmtId="1" fontId="20" fillId="0" borderId="0" xfId="0" applyNumberFormat="1" applyFont="1" applyAlignment="1">
      <alignment horizontal="left"/>
    </xf>
    <xf numFmtId="1" fontId="4" fillId="0" borderId="3" xfId="0" applyNumberFormat="1" applyFont="1" applyBorder="1" applyAlignment="1">
      <alignment horizontal="left"/>
    </xf>
    <xf numFmtId="1" fontId="30" fillId="0" borderId="0" xfId="0" applyNumberFormat="1" applyFont="1" applyAlignment="1">
      <alignment horizontal="left"/>
    </xf>
    <xf numFmtId="1" fontId="4" fillId="0" borderId="13" xfId="0" applyNumberFormat="1" applyFont="1" applyBorder="1" applyAlignment="1">
      <alignment horizontal="left"/>
    </xf>
    <xf numFmtId="1" fontId="12" fillId="0" borderId="3" xfId="0" applyNumberFormat="1" applyFont="1" applyBorder="1" applyAlignment="1">
      <alignment horizontal="left"/>
    </xf>
    <xf numFmtId="1" fontId="4" fillId="0" borderId="2" xfId="0" applyNumberFormat="1" applyFont="1" applyBorder="1"/>
    <xf numFmtId="1" fontId="14" fillId="0" borderId="0" xfId="0" applyNumberFormat="1" applyFont="1"/>
    <xf numFmtId="37" fontId="49" fillId="0" borderId="0" xfId="0" applyFont="1"/>
    <xf numFmtId="37" fontId="26" fillId="0" borderId="0" xfId="0" applyFont="1" applyAlignment="1">
      <alignment horizontal="left"/>
    </xf>
    <xf numFmtId="1" fontId="26" fillId="0" borderId="0" xfId="0" applyNumberFormat="1" applyFont="1" applyAlignment="1">
      <alignment horizontal="left"/>
    </xf>
    <xf numFmtId="37" fontId="49" fillId="5" borderId="0" xfId="0" applyFont="1" applyFill="1"/>
    <xf numFmtId="37" fontId="0" fillId="0" borderId="0" xfId="0" quotePrefix="1" applyAlignment="1">
      <alignment horizontal="left"/>
    </xf>
    <xf numFmtId="37" fontId="14" fillId="0" borderId="0" xfId="0" applyFont="1" applyAlignment="1">
      <alignment horizontal="left"/>
    </xf>
    <xf numFmtId="1" fontId="14" fillId="0" borderId="0" xfId="0" applyNumberFormat="1" applyFont="1" applyAlignment="1">
      <alignment horizontal="left"/>
    </xf>
    <xf numFmtId="37" fontId="50" fillId="0" borderId="0" xfId="0" applyFont="1"/>
    <xf numFmtId="170" fontId="51" fillId="0" borderId="0" xfId="0" applyNumberFormat="1" applyFont="1" applyAlignment="1">
      <alignment horizontal="left"/>
    </xf>
    <xf numFmtId="37" fontId="52" fillId="0" borderId="0" xfId="0" applyFont="1"/>
    <xf numFmtId="170" fontId="26" fillId="0" borderId="0" xfId="0" applyNumberFormat="1" applyFont="1" applyAlignment="1">
      <alignment horizontal="left"/>
    </xf>
    <xf numFmtId="37" fontId="30" fillId="6" borderId="3" xfId="0" applyFont="1" applyFill="1" applyBorder="1"/>
    <xf numFmtId="37" fontId="30" fillId="0" borderId="4" xfId="0" applyFont="1" applyFill="1" applyBorder="1"/>
    <xf numFmtId="37" fontId="30" fillId="0" borderId="13" xfId="0" applyFont="1" applyFill="1" applyBorder="1"/>
    <xf numFmtId="37" fontId="14" fillId="6" borderId="8" xfId="0" applyFont="1" applyFill="1" applyBorder="1"/>
    <xf numFmtId="37" fontId="29" fillId="5" borderId="0" xfId="0" applyFont="1" applyFill="1" applyBorder="1"/>
    <xf numFmtId="37" fontId="11" fillId="0" borderId="1" xfId="0" applyNumberFormat="1" applyFont="1" applyBorder="1" applyProtection="1"/>
    <xf numFmtId="37" fontId="11" fillId="0" borderId="0" xfId="0" applyFont="1" applyBorder="1"/>
    <xf numFmtId="37" fontId="11" fillId="0" borderId="0" xfId="0" applyFont="1" applyBorder="1" applyAlignment="1">
      <alignment horizontal="centerContinuous"/>
    </xf>
    <xf numFmtId="37" fontId="12" fillId="0" borderId="0" xfId="0" applyFont="1" applyBorder="1" applyAlignment="1">
      <alignment horizontal="centerContinuous"/>
    </xf>
    <xf numFmtId="37" fontId="27" fillId="0" borderId="0" xfId="0" applyFont="1" applyBorder="1"/>
    <xf numFmtId="37" fontId="11" fillId="0" borderId="0" xfId="0" applyNumberFormat="1" applyFont="1" applyBorder="1" applyAlignment="1" applyProtection="1">
      <alignment horizontal="centerContinuous"/>
    </xf>
    <xf numFmtId="0" fontId="11" fillId="0" borderId="0" xfId="0" applyNumberFormat="1" applyFont="1" applyBorder="1"/>
    <xf numFmtId="37" fontId="17" fillId="0" borderId="0" xfId="0" applyFont="1" applyAlignment="1">
      <alignment horizontal="center"/>
    </xf>
    <xf numFmtId="177" fontId="17" fillId="0" borderId="0" xfId="0" applyNumberFormat="1" applyFont="1" applyAlignment="1">
      <alignment horizontal="center"/>
    </xf>
    <xf numFmtId="177" fontId="0" fillId="0" borderId="0" xfId="0" applyNumberFormat="1"/>
    <xf numFmtId="177" fontId="12" fillId="6" borderId="7" xfId="0" applyNumberFormat="1" applyFont="1" applyFill="1" applyBorder="1" applyAlignment="1">
      <alignment horizontal="center"/>
    </xf>
    <xf numFmtId="177" fontId="0" fillId="0" borderId="2" xfId="0" applyNumberFormat="1" applyBorder="1"/>
    <xf numFmtId="169" fontId="0" fillId="0" borderId="0" xfId="0" applyNumberFormat="1" applyBorder="1"/>
    <xf numFmtId="37" fontId="53" fillId="0" borderId="0" xfId="0" applyFont="1"/>
    <xf numFmtId="37" fontId="0" fillId="6" borderId="41" xfId="0" applyFill="1" applyBorder="1"/>
    <xf numFmtId="0" fontId="14" fillId="0" borderId="0" xfId="0" applyNumberFormat="1" applyFont="1" applyAlignment="1">
      <alignment horizontal="left"/>
    </xf>
    <xf numFmtId="170" fontId="14" fillId="0" borderId="0" xfId="0" applyNumberFormat="1" applyFont="1" applyAlignment="1">
      <alignment horizontal="left"/>
    </xf>
    <xf numFmtId="169" fontId="14" fillId="0" borderId="0" xfId="0" applyNumberFormat="1" applyFont="1" applyAlignment="1">
      <alignment horizontal="left"/>
    </xf>
    <xf numFmtId="168" fontId="14" fillId="0" borderId="0" xfId="0" quotePrefix="1" applyNumberFormat="1" applyFont="1" applyAlignment="1">
      <alignment horizontal="left"/>
    </xf>
    <xf numFmtId="38" fontId="14" fillId="0" borderId="0" xfId="0" applyNumberFormat="1" applyFont="1"/>
    <xf numFmtId="177" fontId="0" fillId="0" borderId="0" xfId="0" applyNumberFormat="1" applyProtection="1"/>
    <xf numFmtId="177" fontId="37" fillId="0" borderId="0" xfId="0" quotePrefix="1" applyNumberFormat="1" applyFont="1" applyAlignment="1" applyProtection="1">
      <alignment horizontal="left"/>
    </xf>
    <xf numFmtId="177" fontId="0" fillId="0" borderId="0" xfId="0" applyNumberFormat="1" applyAlignment="1" applyProtection="1">
      <alignment horizontal="left"/>
    </xf>
    <xf numFmtId="177" fontId="33" fillId="0" borderId="0" xfId="0" applyNumberFormat="1" applyFont="1" applyAlignment="1" applyProtection="1">
      <alignment horizontal="centerContinuous"/>
    </xf>
    <xf numFmtId="177" fontId="33" fillId="0" borderId="1" xfId="0" applyNumberFormat="1" applyFont="1" applyBorder="1" applyProtection="1"/>
    <xf numFmtId="177" fontId="36" fillId="0" borderId="0" xfId="0" applyNumberFormat="1" applyFont="1" applyBorder="1" applyProtection="1"/>
    <xf numFmtId="177" fontId="36" fillId="0" borderId="15" xfId="0" applyNumberFormat="1" applyFont="1" applyBorder="1" applyAlignment="1" applyProtection="1">
      <alignment horizontal="centerContinuous"/>
    </xf>
    <xf numFmtId="177" fontId="37" fillId="0" borderId="0" xfId="0" applyNumberFormat="1" applyFont="1" applyBorder="1" applyAlignment="1" applyProtection="1">
      <alignment horizontal="centerContinuous"/>
    </xf>
    <xf numFmtId="177" fontId="0" fillId="0" borderId="53" xfId="0" applyNumberFormat="1" applyBorder="1" applyAlignment="1" applyProtection="1">
      <alignment horizontal="center"/>
    </xf>
    <xf numFmtId="177" fontId="0" fillId="0" borderId="36" xfId="0" applyNumberFormat="1" applyBorder="1" applyAlignment="1" applyProtection="1">
      <alignment horizontal="center"/>
    </xf>
    <xf numFmtId="177" fontId="0" fillId="0" borderId="54" xfId="0" applyNumberFormat="1" applyBorder="1" applyAlignment="1" applyProtection="1">
      <alignment horizontal="center"/>
    </xf>
    <xf numFmtId="177" fontId="38" fillId="8" borderId="36" xfId="0" applyNumberFormat="1" applyFont="1" applyFill="1" applyBorder="1" applyProtection="1"/>
    <xf numFmtId="177" fontId="37" fillId="8" borderId="36" xfId="0" applyNumberFormat="1" applyFont="1" applyFill="1" applyBorder="1" applyProtection="1"/>
    <xf numFmtId="177" fontId="0" fillId="0" borderId="55" xfId="0" quotePrefix="1" applyNumberFormat="1" applyBorder="1" applyAlignment="1" applyProtection="1">
      <alignment horizontal="center"/>
    </xf>
    <xf numFmtId="177" fontId="37" fillId="1" borderId="7" xfId="0" applyNumberFormat="1" applyFont="1" applyFill="1" applyBorder="1"/>
    <xf numFmtId="177" fontId="0" fillId="8" borderId="36" xfId="0" applyNumberFormat="1" applyFill="1" applyBorder="1" applyProtection="1"/>
    <xf numFmtId="177" fontId="37" fillId="8" borderId="37" xfId="0" applyNumberFormat="1" applyFont="1" applyFill="1" applyBorder="1" applyProtection="1"/>
    <xf numFmtId="177" fontId="37" fillId="0" borderId="0" xfId="0" applyNumberFormat="1" applyFont="1" applyBorder="1" applyProtection="1"/>
    <xf numFmtId="177" fontId="0" fillId="0" borderId="31" xfId="0" applyNumberFormat="1" applyBorder="1"/>
    <xf numFmtId="177" fontId="0" fillId="0" borderId="0" xfId="0" applyNumberFormat="1" applyBorder="1"/>
    <xf numFmtId="177" fontId="37" fillId="0" borderId="0" xfId="0" applyNumberFormat="1" applyFont="1" applyProtection="1"/>
    <xf numFmtId="177" fontId="37" fillId="0" borderId="15" xfId="0" applyNumberFormat="1" applyFont="1" applyBorder="1" applyAlignment="1" applyProtection="1">
      <alignment horizontal="centerContinuous"/>
    </xf>
    <xf numFmtId="177" fontId="45" fillId="0" borderId="0" xfId="0" applyNumberFormat="1" applyFont="1" applyBorder="1" applyAlignment="1" applyProtection="1">
      <alignment horizontal="centerContinuous"/>
    </xf>
    <xf numFmtId="177" fontId="37" fillId="0" borderId="9" xfId="0" applyNumberFormat="1" applyFont="1" applyBorder="1" applyProtection="1"/>
    <xf numFmtId="177" fontId="37" fillId="0" borderId="1" xfId="0" applyNumberFormat="1" applyFont="1" applyBorder="1" applyProtection="1"/>
    <xf numFmtId="177" fontId="37" fillId="0" borderId="31" xfId="0" applyNumberFormat="1" applyFont="1" applyBorder="1" applyProtection="1"/>
    <xf numFmtId="177" fontId="36" fillId="0" borderId="5" xfId="0" applyNumberFormat="1" applyFont="1" applyBorder="1" applyProtection="1"/>
    <xf numFmtId="37" fontId="0" fillId="0" borderId="0" xfId="0" applyAlignment="1" applyProtection="1">
      <alignment horizontal="left"/>
      <protection locked="0"/>
    </xf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3" fillId="6" borderId="7" xfId="0" applyFont="1" applyFill="1" applyBorder="1" applyProtection="1">
      <protection locked="0"/>
    </xf>
    <xf numFmtId="37" fontId="3" fillId="0" borderId="0" xfId="0" applyFont="1" applyProtection="1">
      <protection locked="0"/>
    </xf>
    <xf numFmtId="37" fontId="0" fillId="6" borderId="7" xfId="0" applyFill="1" applyBorder="1" applyProtection="1">
      <protection locked="0"/>
    </xf>
    <xf numFmtId="37" fontId="13" fillId="6" borderId="7" xfId="0" applyFont="1" applyFill="1" applyBorder="1" applyProtection="1">
      <protection locked="0"/>
    </xf>
    <xf numFmtId="37" fontId="3" fillId="6" borderId="8" xfId="0" applyFont="1" applyFill="1" applyBorder="1" applyProtection="1">
      <protection locked="0"/>
    </xf>
    <xf numFmtId="37" fontId="3" fillId="0" borderId="1" xfId="0" applyFont="1" applyBorder="1" applyProtection="1">
      <protection locked="0"/>
    </xf>
    <xf numFmtId="37" fontId="0" fillId="6" borderId="8" xfId="0" applyFill="1" applyBorder="1" applyProtection="1">
      <protection locked="0"/>
    </xf>
    <xf numFmtId="37" fontId="13" fillId="6" borderId="8" xfId="0" applyFont="1" applyFill="1" applyBorder="1" applyProtection="1">
      <protection locked="0"/>
    </xf>
    <xf numFmtId="37" fontId="0" fillId="0" borderId="0" xfId="0" applyBorder="1" applyAlignment="1" applyProtection="1">
      <alignment horizontal="left"/>
      <protection locked="0"/>
    </xf>
    <xf numFmtId="1" fontId="0" fillId="0" borderId="0" xfId="0" applyNumberFormat="1" applyBorder="1" applyAlignment="1" applyProtection="1">
      <alignment horizontal="left"/>
      <protection locked="0"/>
    </xf>
    <xf numFmtId="37" fontId="3" fillId="0" borderId="0" xfId="0" applyFont="1" applyBorder="1" applyProtection="1">
      <protection locked="0"/>
    </xf>
    <xf numFmtId="37" fontId="0" fillId="0" borderId="0" xfId="0" applyBorder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37" fontId="13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3" fillId="6" borderId="52" xfId="0" applyFont="1" applyFill="1" applyBorder="1" applyProtection="1">
      <protection locked="0"/>
    </xf>
    <xf numFmtId="37" fontId="3" fillId="0" borderId="36" xfId="0" applyFont="1" applyBorder="1" applyProtection="1">
      <protection locked="0"/>
    </xf>
    <xf numFmtId="10" fontId="14" fillId="0" borderId="1" xfId="1" applyNumberFormat="1" applyFont="1" applyBorder="1" applyAlignment="1">
      <alignment horizontal="center"/>
    </xf>
    <xf numFmtId="176" fontId="13" fillId="0" borderId="0" xfId="0" applyNumberFormat="1" applyFont="1" applyProtection="1">
      <protection locked="0"/>
    </xf>
    <xf numFmtId="1" fontId="13" fillId="0" borderId="0" xfId="0" applyNumberFormat="1" applyFont="1" applyProtection="1">
      <protection locked="0"/>
    </xf>
    <xf numFmtId="37" fontId="14" fillId="0" borderId="0" xfId="0" applyFont="1" applyProtection="1">
      <protection locked="0"/>
    </xf>
    <xf numFmtId="37" fontId="20" fillId="6" borderId="7" xfId="0" applyFont="1" applyFill="1" applyBorder="1" applyProtection="1">
      <protection locked="0"/>
    </xf>
    <xf numFmtId="37" fontId="14" fillId="0" borderId="0" xfId="0" applyFont="1" applyBorder="1" applyProtection="1">
      <protection locked="0"/>
    </xf>
    <xf numFmtId="170" fontId="13" fillId="7" borderId="41" xfId="0" applyNumberFormat="1" applyFont="1" applyFill="1" applyBorder="1"/>
    <xf numFmtId="170" fontId="27" fillId="0" borderId="0" xfId="0" applyNumberFormat="1" applyFont="1"/>
    <xf numFmtId="170" fontId="32" fillId="0" borderId="0" xfId="0" applyNumberFormat="1" applyFont="1"/>
    <xf numFmtId="170" fontId="4" fillId="0" borderId="1" xfId="0" applyNumberFormat="1" applyFont="1" applyBorder="1" applyAlignment="1">
      <alignment horizontal="right"/>
    </xf>
    <xf numFmtId="170" fontId="26" fillId="0" borderId="0" xfId="0" applyNumberFormat="1" applyFont="1"/>
    <xf numFmtId="170" fontId="34" fillId="0" borderId="1" xfId="0" applyNumberFormat="1" applyFont="1" applyBorder="1" applyProtection="1"/>
    <xf numFmtId="170" fontId="17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0" fontId="12" fillId="0" borderId="0" xfId="0" applyNumberFormat="1" applyFont="1" applyAlignment="1"/>
    <xf numFmtId="37" fontId="13" fillId="0" borderId="1" xfId="0" applyFont="1" applyBorder="1" applyProtection="1">
      <protection locked="0"/>
    </xf>
    <xf numFmtId="37" fontId="26" fillId="6" borderId="9" xfId="0" applyFont="1" applyFill="1" applyBorder="1" applyProtection="1">
      <protection locked="0"/>
    </xf>
    <xf numFmtId="37" fontId="26" fillId="6" borderId="35" xfId="0" applyFont="1" applyFill="1" applyBorder="1" applyProtection="1">
      <protection locked="0"/>
    </xf>
    <xf numFmtId="37" fontId="26" fillId="6" borderId="0" xfId="0" applyFont="1" applyFill="1" applyBorder="1" applyProtection="1">
      <protection locked="0"/>
    </xf>
    <xf numFmtId="37" fontId="26" fillId="6" borderId="36" xfId="0" applyFont="1" applyFill="1" applyBorder="1" applyProtection="1">
      <protection locked="0"/>
    </xf>
    <xf numFmtId="37" fontId="14" fillId="6" borderId="0" xfId="0" applyFont="1" applyFill="1" applyBorder="1" applyProtection="1">
      <protection locked="0"/>
    </xf>
    <xf numFmtId="37" fontId="26" fillId="6" borderId="1" xfId="0" applyFont="1" applyFill="1" applyBorder="1" applyProtection="1">
      <protection locked="0"/>
    </xf>
    <xf numFmtId="37" fontId="26" fillId="6" borderId="37" xfId="0" applyFont="1" applyFill="1" applyBorder="1" applyProtection="1">
      <protection locked="0"/>
    </xf>
    <xf numFmtId="37" fontId="26" fillId="6" borderId="52" xfId="0" applyFont="1" applyFill="1" applyBorder="1" applyProtection="1">
      <protection locked="0"/>
    </xf>
    <xf numFmtId="37" fontId="4" fillId="6" borderId="52" xfId="0" applyFont="1" applyFill="1" applyBorder="1" applyProtection="1">
      <protection locked="0"/>
    </xf>
    <xf numFmtId="0" fontId="4" fillId="6" borderId="8" xfId="0" applyNumberFormat="1" applyFont="1" applyFill="1" applyBorder="1" applyAlignment="1" applyProtection="1">
      <alignment horizontal="center"/>
      <protection locked="0"/>
    </xf>
    <xf numFmtId="37" fontId="4" fillId="6" borderId="8" xfId="0" applyFont="1" applyFill="1" applyBorder="1" applyAlignment="1" applyProtection="1">
      <alignment horizontal="center"/>
      <protection locked="0"/>
    </xf>
    <xf numFmtId="37" fontId="4" fillId="6" borderId="7" xfId="0" applyFont="1" applyFill="1" applyBorder="1" applyAlignment="1" applyProtection="1">
      <alignment horizontal="center"/>
      <protection locked="0"/>
    </xf>
    <xf numFmtId="37" fontId="12" fillId="6" borderId="41" xfId="0" applyFont="1" applyFill="1" applyBorder="1" applyProtection="1">
      <protection locked="0"/>
    </xf>
    <xf numFmtId="37" fontId="26" fillId="6" borderId="7" xfId="0" applyFont="1" applyFill="1" applyBorder="1" applyProtection="1">
      <protection locked="0"/>
    </xf>
    <xf numFmtId="37" fontId="14" fillId="6" borderId="7" xfId="0" applyFont="1" applyFill="1" applyBorder="1" applyProtection="1">
      <protection locked="0"/>
    </xf>
    <xf numFmtId="37" fontId="29" fillId="6" borderId="7" xfId="0" applyFont="1" applyFill="1" applyBorder="1" applyProtection="1">
      <protection locked="0"/>
    </xf>
    <xf numFmtId="37" fontId="14" fillId="6" borderId="52" xfId="0" applyFont="1" applyFill="1" applyBorder="1" applyProtection="1">
      <protection locked="0"/>
    </xf>
    <xf numFmtId="37" fontId="30" fillId="6" borderId="41" xfId="0" applyFont="1" applyFill="1" applyBorder="1" applyProtection="1">
      <protection locked="0"/>
    </xf>
    <xf numFmtId="37" fontId="18" fillId="6" borderId="7" xfId="0" applyFont="1" applyFill="1" applyBorder="1" applyProtection="1">
      <protection locked="0"/>
    </xf>
    <xf numFmtId="37" fontId="30" fillId="6" borderId="7" xfId="0" applyFont="1" applyFill="1" applyBorder="1" applyProtection="1">
      <protection locked="0"/>
    </xf>
    <xf numFmtId="37" fontId="30" fillId="6" borderId="52" xfId="0" applyFont="1" applyFill="1" applyBorder="1" applyProtection="1">
      <protection locked="0"/>
    </xf>
    <xf numFmtId="37" fontId="4" fillId="6" borderId="42" xfId="0" applyFont="1" applyFill="1" applyBorder="1" applyProtection="1">
      <protection locked="0"/>
    </xf>
    <xf numFmtId="37" fontId="0" fillId="6" borderId="52" xfId="0" applyFill="1" applyBorder="1" applyProtection="1">
      <protection locked="0"/>
    </xf>
    <xf numFmtId="37" fontId="14" fillId="6" borderId="8" xfId="0" applyFont="1" applyFill="1" applyBorder="1" applyProtection="1">
      <protection locked="0"/>
    </xf>
    <xf numFmtId="37" fontId="0" fillId="6" borderId="41" xfId="0" applyFill="1" applyBorder="1" applyProtection="1">
      <protection locked="0"/>
    </xf>
    <xf numFmtId="37" fontId="0" fillId="0" borderId="0" xfId="0" applyFill="1" applyBorder="1" applyProtection="1">
      <protection locked="0"/>
    </xf>
    <xf numFmtId="37" fontId="14" fillId="0" borderId="9" xfId="0" applyFont="1" applyBorder="1"/>
    <xf numFmtId="37" fontId="14" fillId="6" borderId="52" xfId="0" applyFont="1" applyFill="1" applyBorder="1"/>
    <xf numFmtId="176" fontId="54" fillId="0" borderId="0" xfId="0" applyNumberFormat="1" applyFont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Expenses by Categories</a:t>
            </a:r>
          </a:p>
        </c:rich>
      </c:tx>
      <c:layout>
        <c:manualLayout>
          <c:xMode val="edge"/>
          <c:yMode val="edge"/>
          <c:x val="0.36993273755273565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67582057298861"/>
          <c:y val="2.5641089846478983E-2"/>
          <c:w val="0.63344646841221863"/>
          <c:h val="0.9615408692429618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'Exec Summ'!$Q$22:$Q$35</c:f>
              <c:strCache>
                <c:ptCount val="14"/>
                <c:pt idx="0">
                  <c:v>Salaries &amp; Wages</c:v>
                </c:pt>
                <c:pt idx="1">
                  <c:v>Employee Expense</c:v>
                </c:pt>
                <c:pt idx="2">
                  <c:v>Supplies &amp; Expense</c:v>
                </c:pt>
                <c:pt idx="3">
                  <c:v>Outside Services </c:v>
                </c:pt>
                <c:pt idx="4">
                  <c:v>Rents</c:v>
                </c:pt>
                <c:pt idx="5">
                  <c:v>Other O&amp;M Expense</c:v>
                </c:pt>
                <c:pt idx="6">
                  <c:v>Other Computer Costs</c:v>
                </c:pt>
                <c:pt idx="7">
                  <c:v>Advertising &amp; Promotion</c:v>
                </c:pt>
                <c:pt idx="8">
                  <c:v>Other</c:v>
                </c:pt>
                <c:pt idx="9">
                  <c:v>Payroll Taxes</c:v>
                </c:pt>
                <c:pt idx="10">
                  <c:v>Benefits</c:v>
                </c:pt>
                <c:pt idx="11">
                  <c:v>EIS Charges</c:v>
                </c:pt>
                <c:pt idx="12">
                  <c:v>Rent and other EPCS</c:v>
                </c:pt>
                <c:pt idx="13">
                  <c:v>Other corporate charges</c:v>
                </c:pt>
              </c:strCache>
            </c:strRef>
          </c:cat>
          <c:val>
            <c:numRef>
              <c:f>'Exec Summ'!$S$22:$S$35</c:f>
              <c:numCache>
                <c:formatCode>#,##0_);\(#,##0\)</c:formatCode>
                <c:ptCount val="14"/>
                <c:pt idx="0">
                  <c:v>4563</c:v>
                </c:pt>
                <c:pt idx="1">
                  <c:v>254</c:v>
                </c:pt>
                <c:pt idx="2">
                  <c:v>94</c:v>
                </c:pt>
                <c:pt idx="3">
                  <c:v>199</c:v>
                </c:pt>
                <c:pt idx="4">
                  <c:v>2</c:v>
                </c:pt>
                <c:pt idx="5">
                  <c:v>4</c:v>
                </c:pt>
                <c:pt idx="6">
                  <c:v>76</c:v>
                </c:pt>
                <c:pt idx="7">
                  <c:v>36</c:v>
                </c:pt>
                <c:pt idx="8">
                  <c:v>0</c:v>
                </c:pt>
                <c:pt idx="9">
                  <c:v>308</c:v>
                </c:pt>
                <c:pt idx="10">
                  <c:v>552</c:v>
                </c:pt>
                <c:pt idx="11">
                  <c:v>296</c:v>
                </c:pt>
                <c:pt idx="12">
                  <c:v>204</c:v>
                </c:pt>
                <c:pt idx="13">
                  <c:v>188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 Gross Expenses </a:t>
            </a:r>
          </a:p>
        </c:rich>
      </c:tx>
      <c:layout>
        <c:manualLayout>
          <c:xMode val="edge"/>
          <c:yMode val="edge"/>
          <c:x val="0.35767855673308158"/>
          <c:y val="3.37662765907525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42479632051058E-2"/>
          <c:y val="8.8311800314275962E-2"/>
          <c:w val="0.90636869873723291"/>
          <c:h val="0.831169885310832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'Exec Summ'!$Q$12:$Q$17</c:f>
              <c:strCache>
                <c:ptCount val="5"/>
                <c:pt idx="0">
                  <c:v>1999 Plan</c:v>
                </c:pt>
                <c:pt idx="1">
                  <c:v>1999 Estimate</c:v>
                </c:pt>
                <c:pt idx="2">
                  <c:v>2000 Plan</c:v>
                </c:pt>
                <c:pt idx="3">
                  <c:v>2001 Plan</c:v>
                </c:pt>
                <c:pt idx="4">
                  <c:v>2002 Plan</c:v>
                </c:pt>
              </c:strCache>
            </c:strRef>
          </c:cat>
          <c:val>
            <c:numRef>
              <c:f>'Exec Summ'!$R$12:$R$17</c:f>
              <c:numCache>
                <c:formatCode>#,##0_);\(#,##0\)</c:formatCode>
                <c:ptCount val="6"/>
                <c:pt idx="0">
                  <c:v>3138</c:v>
                </c:pt>
                <c:pt idx="1">
                  <c:v>4281</c:v>
                </c:pt>
                <c:pt idx="2">
                  <c:v>6777</c:v>
                </c:pt>
                <c:pt idx="3">
                  <c:v>6751</c:v>
                </c:pt>
                <c:pt idx="4">
                  <c:v>7029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243104"/>
        <c:axId val="144243664"/>
      </c:barChart>
      <c:catAx>
        <c:axId val="144243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43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243664"/>
        <c:scaling>
          <c:orientation val="minMax"/>
        </c:scaling>
        <c:delete val="0"/>
        <c:axPos val="l"/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4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 Distribution Percentages </a:t>
            </a:r>
          </a:p>
        </c:rich>
      </c:tx>
      <c:layout>
        <c:manualLayout>
          <c:xMode val="edge"/>
          <c:yMode val="edge"/>
          <c:x val="0.34117675057178193"/>
          <c:y val="3.1401040253812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7746953573852"/>
          <c:y val="6.2802080507624994E-2"/>
          <c:w val="0.61344588156995272"/>
          <c:h val="0.8816445917416585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2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3"/>
            <c:bubble3D val="0"/>
            <c:spPr>
              <a:solidFill>
                <a:srgbClr val="E3E3E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4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5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6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7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8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9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0"/>
            <c:bubble3D val="0"/>
            <c:spPr>
              <a:solidFill>
                <a:srgbClr val="6666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1"/>
            <c:bubble3D val="0"/>
            <c:spPr>
              <a:solidFill>
                <a:srgbClr val="96969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2"/>
            <c:bubble3D val="0"/>
            <c:spPr>
              <a:solidFill>
                <a:srgbClr val="00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3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4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5"/>
            <c:bubble3D val="0"/>
            <c:spPr>
              <a:solidFill>
                <a:srgbClr val="3333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6"/>
            <c:bubble3D val="0"/>
            <c:spPr>
              <a:solidFill>
                <a:srgbClr val="9933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7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8"/>
            <c:bubble3D val="0"/>
            <c:spPr>
              <a:solidFill>
                <a:srgbClr val="3333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9"/>
            <c:bubble3D val="0"/>
            <c:spPr>
              <a:solidFill>
                <a:srgbClr val="33333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Allocations!$B$10:$B$50</c:f>
              <c:strCache>
                <c:ptCount val="41"/>
                <c:pt idx="0">
                  <c:v>Enron Management Inc</c:v>
                </c:pt>
                <c:pt idx="1">
                  <c:v>Enron Corp</c:v>
                </c:pt>
                <c:pt idx="2">
                  <c:v>Risk Assessment &amp; Control</c:v>
                </c:pt>
                <c:pt idx="3">
                  <c:v>HPL</c:v>
                </c:pt>
                <c:pt idx="4">
                  <c:v>Transwestern</c:v>
                </c:pt>
                <c:pt idx="5">
                  <c:v>Florida Gas Transmission</c:v>
                </c:pt>
                <c:pt idx="6">
                  <c:v>Enron Engineering &amp; Construction</c:v>
                </c:pt>
                <c:pt idx="7">
                  <c:v>NEPCO</c:v>
                </c:pt>
                <c:pt idx="8">
                  <c:v>Citrus Corp</c:v>
                </c:pt>
                <c:pt idx="9">
                  <c:v>EOTT Energy</c:v>
                </c:pt>
                <c:pt idx="10">
                  <c:v>Enron Oil and Gas</c:v>
                </c:pt>
                <c:pt idx="11">
                  <c:v>Northern Plains</c:v>
                </c:pt>
                <c:pt idx="12">
                  <c:v>Northern Natural Gas</c:v>
                </c:pt>
                <c:pt idx="13">
                  <c:v>Expat Services</c:v>
                </c:pt>
                <c:pt idx="14">
                  <c:v>GPG Executive</c:v>
                </c:pt>
                <c:pt idx="15">
                  <c:v>Citrus Trading</c:v>
                </c:pt>
                <c:pt idx="16">
                  <c:v>Clean Fuels - Methanol</c:v>
                </c:pt>
                <c:pt idx="17">
                  <c:v>ECT - N.A.</c:v>
                </c:pt>
                <c:pt idx="18">
                  <c:v>GPG Finance &amp; Accounting</c:v>
                </c:pt>
                <c:pt idx="19">
                  <c:v>Operation Technical Support</c:v>
                </c:pt>
                <c:pt idx="20">
                  <c:v>Clean Fuels - MTBE</c:v>
                </c:pt>
                <c:pt idx="21">
                  <c:v>Enron Global Products (Europe)</c:v>
                </c:pt>
                <c:pt idx="22">
                  <c:v>GPG Human Resources</c:v>
                </c:pt>
                <c:pt idx="23">
                  <c:v>GPG Legal</c:v>
                </c:pt>
                <c:pt idx="24">
                  <c:v>HPL Operations</c:v>
                </c:pt>
                <c:pt idx="25">
                  <c:v>NBP Services</c:v>
                </c:pt>
                <c:pt idx="26">
                  <c:v>LRCO</c:v>
                </c:pt>
                <c:pt idx="27">
                  <c:v>HPLP</c:v>
                </c:pt>
                <c:pt idx="28">
                  <c:v>Enron Property &amp; Services</c:v>
                </c:pt>
                <c:pt idx="29">
                  <c:v>Enron Europe</c:v>
                </c:pt>
                <c:pt idx="30">
                  <c:v>ECM</c:v>
                </c:pt>
                <c:pt idx="31">
                  <c:v>Enron Transition Co</c:v>
                </c:pt>
                <c:pt idx="32">
                  <c:v>Enron Energy Services</c:v>
                </c:pt>
                <c:pt idx="33">
                  <c:v>Enron Intermational , consol</c:v>
                </c:pt>
                <c:pt idx="34">
                  <c:v>Portland General Electric</c:v>
                </c:pt>
                <c:pt idx="35">
                  <c:v>ECI</c:v>
                </c:pt>
                <c:pt idx="36">
                  <c:v>Clean Fuels - Mont Belvieu</c:v>
                </c:pt>
                <c:pt idx="37">
                  <c:v>Enron Renewable Energy</c:v>
                </c:pt>
                <c:pt idx="38">
                  <c:v>Enron Wind Corp</c:v>
                </c:pt>
                <c:pt idx="39">
                  <c:v>San Juan Gas Company</c:v>
                </c:pt>
                <c:pt idx="40">
                  <c:v>AZURIX</c:v>
                </c:pt>
              </c:strCache>
            </c:strRef>
          </c:cat>
          <c:val>
            <c:numRef>
              <c:f>Allocations!$Q$10:$Q$50</c:f>
              <c:numCache>
                <c:formatCode>#,##0_);\(#,##0\)</c:formatCode>
                <c:ptCount val="41"/>
                <c:pt idx="0">
                  <c:v>0</c:v>
                </c:pt>
                <c:pt idx="1">
                  <c:v>-1016536.3499999999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-271076.36000000004</c:v>
                </c:pt>
                <c:pt idx="15">
                  <c:v>0</c:v>
                </c:pt>
                <c:pt idx="16">
                  <c:v>0</c:v>
                </c:pt>
                <c:pt idx="17">
                  <c:v>-2507456.3299999996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-203307.27000000002</c:v>
                </c:pt>
                <c:pt idx="30">
                  <c:v>0</c:v>
                </c:pt>
                <c:pt idx="31">
                  <c:v>0</c:v>
                </c:pt>
                <c:pt idx="32">
                  <c:v>-948767.26</c:v>
                </c:pt>
                <c:pt idx="33">
                  <c:v>-813229.08000000007</c:v>
                </c:pt>
                <c:pt idx="34">
                  <c:v>-271076.36000000004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 Capital Expenditures</a:t>
            </a:r>
          </a:p>
        </c:rich>
      </c:tx>
      <c:layout>
        <c:manualLayout>
          <c:xMode val="edge"/>
          <c:yMode val="edge"/>
          <c:x val="0.34091966572504945"/>
          <c:y val="3.1631180248214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87743251812"/>
          <c:y val="2.1898509402610102E-2"/>
          <c:w val="0.75191726273802573"/>
          <c:h val="0.965967581426245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Capital!$A$8:$A$11</c:f>
              <c:strCache>
                <c:ptCount val="4"/>
                <c:pt idx="0">
                  <c:v>Computer Costs</c:v>
                </c:pt>
                <c:pt idx="1">
                  <c:v>  Systems Development</c:v>
                </c:pt>
                <c:pt idx="2">
                  <c:v>  Computer Equipment</c:v>
                </c:pt>
                <c:pt idx="3">
                  <c:v>Other</c:v>
                </c:pt>
              </c:strCache>
            </c:strRef>
          </c:cat>
          <c:val>
            <c:numRef>
              <c:f>Capital!$J$9:$J$11</c:f>
              <c:numCache>
                <c:formatCode>#,##0_);\(#,##0\)</c:formatCode>
                <c:ptCount val="3"/>
                <c:pt idx="0">
                  <c:v>0</c:v>
                </c:pt>
                <c:pt idx="1">
                  <c:v>80000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180975</xdr:rowOff>
        </xdr:from>
        <xdr:to>
          <xdr:col>1</xdr:col>
          <xdr:colOff>428625</xdr:colOff>
          <xdr:row>14</xdr:row>
          <xdr:rowOff>76200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104775</xdr:rowOff>
        </xdr:from>
        <xdr:to>
          <xdr:col>1</xdr:col>
          <xdr:colOff>428625</xdr:colOff>
          <xdr:row>22</xdr:row>
          <xdr:rowOff>76200</xdr:rowOff>
        </xdr:to>
        <xdr:sp macro="" textlink="">
          <xdr:nvSpPr>
            <xdr:cNvPr id="1026" name="Picture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28575</xdr:rowOff>
        </xdr:from>
        <xdr:to>
          <xdr:col>1</xdr:col>
          <xdr:colOff>428625</xdr:colOff>
          <xdr:row>27</xdr:row>
          <xdr:rowOff>19050</xdr:rowOff>
        </xdr:to>
        <xdr:sp macro="" textlink="">
          <xdr:nvSpPr>
            <xdr:cNvPr id="1027" name="Picture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9525</xdr:rowOff>
        </xdr:from>
        <xdr:to>
          <xdr:col>1</xdr:col>
          <xdr:colOff>428625</xdr:colOff>
          <xdr:row>17</xdr:row>
          <xdr:rowOff>238125</xdr:rowOff>
        </xdr:to>
        <xdr:sp macro="" textlink="">
          <xdr:nvSpPr>
            <xdr:cNvPr id="1028" name="Picture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180975</xdr:rowOff>
        </xdr:from>
        <xdr:to>
          <xdr:col>1</xdr:col>
          <xdr:colOff>428625</xdr:colOff>
          <xdr:row>31</xdr:row>
          <xdr:rowOff>219075</xdr:rowOff>
        </xdr:to>
        <xdr:sp macro="" textlink="">
          <xdr:nvSpPr>
            <xdr:cNvPr id="1029" name="Picture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428625</xdr:colOff>
          <xdr:row>10</xdr:row>
          <xdr:rowOff>85725</xdr:rowOff>
        </xdr:to>
        <xdr:sp macro="" textlink="">
          <xdr:nvSpPr>
            <xdr:cNvPr id="1031" name="Picture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114300</xdr:rowOff>
    </xdr:from>
    <xdr:to>
      <xdr:col>7</xdr:col>
      <xdr:colOff>304800</xdr:colOff>
      <xdr:row>23</xdr:row>
      <xdr:rowOff>19050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114300</xdr:rowOff>
    </xdr:from>
    <xdr:to>
      <xdr:col>15</xdr:col>
      <xdr:colOff>0</xdr:colOff>
      <xdr:row>22</xdr:row>
      <xdr:rowOff>161925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28575</xdr:rowOff>
    </xdr:from>
    <xdr:to>
      <xdr:col>7</xdr:col>
      <xdr:colOff>333375</xdr:colOff>
      <xdr:row>44</xdr:row>
      <xdr:rowOff>161925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66675</xdr:rowOff>
    </xdr:from>
    <xdr:to>
      <xdr:col>14</xdr:col>
      <xdr:colOff>457200</xdr:colOff>
      <xdr:row>44</xdr:row>
      <xdr:rowOff>171450</xdr:rowOff>
    </xdr:to>
    <xdr:graphicFrame macro="">
      <xdr:nvGraphicFramePr>
        <xdr:cNvPr id="10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428625</xdr:colOff>
          <xdr:row>1</xdr:row>
          <xdr:rowOff>171450</xdr:rowOff>
        </xdr:from>
        <xdr:to>
          <xdr:col>3</xdr:col>
          <xdr:colOff>409575</xdr:colOff>
          <xdr:row>5</xdr:row>
          <xdr:rowOff>76200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Prepare Detailed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Budget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371475</xdr:colOff>
          <xdr:row>22</xdr:row>
          <xdr:rowOff>85725</xdr:rowOff>
        </xdr:from>
        <xdr:to>
          <xdr:col>3</xdr:col>
          <xdr:colOff>352425</xdr:colOff>
          <xdr:row>25</xdr:row>
          <xdr:rowOff>180975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Prepare Exhibit 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27</xdr:row>
          <xdr:rowOff>152400</xdr:rowOff>
        </xdr:from>
        <xdr:to>
          <xdr:col>3</xdr:col>
          <xdr:colOff>323850</xdr:colOff>
          <xdr:row>31</xdr:row>
          <xdr:rowOff>66675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Prepare Staffing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400050</xdr:colOff>
          <xdr:row>11</xdr:row>
          <xdr:rowOff>171450</xdr:rowOff>
        </xdr:from>
        <xdr:to>
          <xdr:col>3</xdr:col>
          <xdr:colOff>390525</xdr:colOff>
          <xdr:row>15</xdr:row>
          <xdr:rowOff>76200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Prepare Capital Budget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371475</xdr:colOff>
          <xdr:row>17</xdr:row>
          <xdr:rowOff>38100</xdr:rowOff>
        </xdr:from>
        <xdr:to>
          <xdr:col>3</xdr:col>
          <xdr:colOff>352425</xdr:colOff>
          <xdr:row>20</xdr:row>
          <xdr:rowOff>133350</xdr:rowOff>
        </xdr:to>
        <xdr:sp macro="" textlink="">
          <xdr:nvSpPr>
            <xdr:cNvPr id="2061" name="Button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 to Executive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Summary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1152525</xdr:colOff>
          <xdr:row>17</xdr:row>
          <xdr:rowOff>28575</xdr:rowOff>
        </xdr:from>
        <xdr:to>
          <xdr:col>6</xdr:col>
          <xdr:colOff>647700</xdr:colOff>
          <xdr:row>20</xdr:row>
          <xdr:rowOff>123825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Executive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Summary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33</xdr:row>
          <xdr:rowOff>9525</xdr:rowOff>
        </xdr:from>
        <xdr:to>
          <xdr:col>3</xdr:col>
          <xdr:colOff>371475</xdr:colOff>
          <xdr:row>36</xdr:row>
          <xdr:rowOff>114300</xdr:rowOff>
        </xdr:to>
        <xdr:sp macro="" textlink="">
          <xdr:nvSpPr>
            <xdr:cNvPr id="2063" name="Button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 to MSA Input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File for RC rpts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1133475</xdr:colOff>
          <xdr:row>22</xdr:row>
          <xdr:rowOff>104775</xdr:rowOff>
        </xdr:from>
        <xdr:to>
          <xdr:col>6</xdr:col>
          <xdr:colOff>628650</xdr:colOff>
          <xdr:row>26</xdr:row>
          <xdr:rowOff>0</xdr:rowOff>
        </xdr:to>
        <xdr:sp macro="" textlink="">
          <xdr:nvSpPr>
            <xdr:cNvPr id="2064" name="Butto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Exhibit 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1190625</xdr:colOff>
          <xdr:row>2</xdr:row>
          <xdr:rowOff>0</xdr:rowOff>
        </xdr:from>
        <xdr:to>
          <xdr:col>6</xdr:col>
          <xdr:colOff>685800</xdr:colOff>
          <xdr:row>5</xdr:row>
          <xdr:rowOff>104775</xdr:rowOff>
        </xdr:to>
        <xdr:sp macro="" textlink="">
          <xdr:nvSpPr>
            <xdr:cNvPr id="2065" name="Butto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Detailed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Budget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38</xdr:row>
          <xdr:rowOff>76200</xdr:rowOff>
        </xdr:from>
        <xdr:to>
          <xdr:col>5</xdr:col>
          <xdr:colOff>161925</xdr:colOff>
          <xdr:row>41</xdr:row>
          <xdr:rowOff>161925</xdr:rowOff>
        </xdr:to>
        <xdr:sp macro="" textlink="">
          <xdr:nvSpPr>
            <xdr:cNvPr id="2066" name="Butto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1133475</xdr:colOff>
          <xdr:row>33</xdr:row>
          <xdr:rowOff>28575</xdr:rowOff>
        </xdr:from>
        <xdr:to>
          <xdr:col>6</xdr:col>
          <xdr:colOff>638175</xdr:colOff>
          <xdr:row>36</xdr:row>
          <xdr:rowOff>133350</xdr:rowOff>
        </xdr:to>
        <xdr:sp macro="" textlink="">
          <xdr:nvSpPr>
            <xdr:cNvPr id="2067" name="Butto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MSA Input file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1133475</xdr:colOff>
          <xdr:row>27</xdr:row>
          <xdr:rowOff>123825</xdr:rowOff>
        </xdr:from>
        <xdr:to>
          <xdr:col>6</xdr:col>
          <xdr:colOff>638175</xdr:colOff>
          <xdr:row>31</xdr:row>
          <xdr:rowOff>28575</xdr:rowOff>
        </xdr:to>
        <xdr:sp macro="" textlink="">
          <xdr:nvSpPr>
            <xdr:cNvPr id="2068" name="Butto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Staffing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1171575</xdr:colOff>
          <xdr:row>11</xdr:row>
          <xdr:rowOff>142875</xdr:rowOff>
        </xdr:from>
        <xdr:to>
          <xdr:col>6</xdr:col>
          <xdr:colOff>666750</xdr:colOff>
          <xdr:row>15</xdr:row>
          <xdr:rowOff>57150</xdr:rowOff>
        </xdr:to>
        <xdr:sp macro="" textlink="">
          <xdr:nvSpPr>
            <xdr:cNvPr id="2069" name="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Capital Budget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428625</xdr:colOff>
          <xdr:row>6</xdr:row>
          <xdr:rowOff>142875</xdr:rowOff>
        </xdr:from>
        <xdr:to>
          <xdr:col>3</xdr:col>
          <xdr:colOff>409575</xdr:colOff>
          <xdr:row>10</xdr:row>
          <xdr:rowOff>47625</xdr:rowOff>
        </xdr:to>
        <xdr:sp macro="" textlink="">
          <xdr:nvSpPr>
            <xdr:cNvPr id="2071" name="Butto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Prepare Distribution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of O&amp;M Expenses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1181100</xdr:colOff>
          <xdr:row>6</xdr:row>
          <xdr:rowOff>161925</xdr:rowOff>
        </xdr:from>
        <xdr:to>
          <xdr:col>6</xdr:col>
          <xdr:colOff>676275</xdr:colOff>
          <xdr:row>10</xdr:row>
          <xdr:rowOff>76200</xdr:rowOff>
        </xdr:to>
        <xdr:sp macro="" textlink="">
          <xdr:nvSpPr>
            <xdr:cNvPr id="2072" name="Button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Distributions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of O&amp;M Expenses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37"/>
  <sheetViews>
    <sheetView zoomScale="75" workbookViewId="0">
      <selection activeCell="C5" sqref="C5"/>
    </sheetView>
  </sheetViews>
  <sheetFormatPr defaultRowHeight="15" x14ac:dyDescent="0.2"/>
  <cols>
    <col min="1" max="1" width="3.33203125" style="24" customWidth="1"/>
    <col min="2" max="2" width="11.88671875" style="24" customWidth="1"/>
    <col min="3" max="3" width="10.5546875" style="24" customWidth="1"/>
    <col min="4" max="4" width="2.77734375" style="24" customWidth="1"/>
    <col min="5" max="5" width="14.6640625" style="24" customWidth="1"/>
    <col min="6" max="6" width="8.88671875" style="24"/>
    <col min="7" max="7" width="9.109375" style="24" customWidth="1"/>
    <col min="8" max="10" width="8.88671875" style="24"/>
    <col min="11" max="11" width="4.44140625" style="24" customWidth="1"/>
    <col min="12" max="12" width="10.6640625" style="24" customWidth="1"/>
    <col min="13" max="13" width="4" style="24" customWidth="1"/>
    <col min="14" max="14" width="12.88671875" style="24" customWidth="1"/>
    <col min="15" max="16384" width="8.88671875" style="24"/>
  </cols>
  <sheetData>
    <row r="1" spans="1:14" ht="25.5" x14ac:dyDescent="0.35">
      <c r="B1" s="25" t="s">
        <v>0</v>
      </c>
      <c r="C1" s="25"/>
      <c r="D1" s="26"/>
      <c r="E1" s="26"/>
      <c r="F1" s="26"/>
      <c r="G1" s="26"/>
      <c r="H1" s="26"/>
      <c r="I1" s="26"/>
      <c r="J1" s="26"/>
      <c r="N1" s="231">
        <f ca="1">NOW()</f>
        <v>41887.551481365743</v>
      </c>
    </row>
    <row r="2" spans="1:14" ht="5.25" customHeight="1" x14ac:dyDescent="0.2">
      <c r="B2" s="27"/>
      <c r="C2" s="27"/>
    </row>
    <row r="3" spans="1:14" ht="18.75" customHeight="1" x14ac:dyDescent="0.25">
      <c r="A3" s="44" t="s">
        <v>1</v>
      </c>
      <c r="B3" s="27"/>
      <c r="C3" s="304" t="s">
        <v>484</v>
      </c>
      <c r="D3" s="228"/>
      <c r="E3" s="229"/>
    </row>
    <row r="4" spans="1:14" ht="20.25" customHeight="1" x14ac:dyDescent="0.25">
      <c r="A4" s="44" t="s">
        <v>2</v>
      </c>
      <c r="B4" s="44"/>
      <c r="C4" s="408">
        <v>11</v>
      </c>
      <c r="E4" s="44" t="s">
        <v>3</v>
      </c>
      <c r="F4" s="305">
        <v>100038</v>
      </c>
    </row>
    <row r="5" spans="1:14" ht="5.25" customHeight="1" x14ac:dyDescent="0.2">
      <c r="B5" s="27"/>
      <c r="C5" s="27"/>
    </row>
    <row r="6" spans="1:14" x14ac:dyDescent="0.2">
      <c r="B6" s="27" t="s">
        <v>4</v>
      </c>
      <c r="C6" s="27"/>
    </row>
    <row r="7" spans="1:14" ht="5.25" customHeight="1" x14ac:dyDescent="0.2">
      <c r="B7" s="27"/>
      <c r="C7" s="27"/>
    </row>
    <row r="8" spans="1:14" x14ac:dyDescent="0.2">
      <c r="B8" s="27"/>
      <c r="C8" s="27"/>
    </row>
    <row r="9" spans="1:14" ht="18.75" x14ac:dyDescent="0.3">
      <c r="B9" s="27"/>
      <c r="C9" s="28" t="s">
        <v>5</v>
      </c>
      <c r="E9" s="29" t="s">
        <v>6</v>
      </c>
    </row>
    <row r="10" spans="1:14" x14ac:dyDescent="0.2">
      <c r="B10" s="27"/>
      <c r="C10" s="27"/>
      <c r="E10" s="29" t="s">
        <v>7</v>
      </c>
    </row>
    <row r="11" spans="1:14" x14ac:dyDescent="0.2">
      <c r="B11" s="27"/>
      <c r="C11" s="27"/>
      <c r="E11" s="29" t="s">
        <v>8</v>
      </c>
    </row>
    <row r="12" spans="1:14" x14ac:dyDescent="0.2">
      <c r="B12" s="27"/>
      <c r="C12" s="27"/>
      <c r="E12" s="29" t="s">
        <v>9</v>
      </c>
    </row>
    <row r="13" spans="1:14" x14ac:dyDescent="0.2">
      <c r="B13" s="27"/>
      <c r="C13" s="27"/>
      <c r="E13" s="29"/>
    </row>
    <row r="14" spans="1:14" ht="18.75" x14ac:dyDescent="0.3">
      <c r="B14" s="27"/>
      <c r="C14" s="28" t="s">
        <v>10</v>
      </c>
      <c r="E14" s="29" t="s">
        <v>11</v>
      </c>
    </row>
    <row r="15" spans="1:14" x14ac:dyDescent="0.2">
      <c r="B15" s="27"/>
      <c r="C15" s="27"/>
      <c r="E15" s="29"/>
    </row>
    <row r="16" spans="1:14" ht="18.75" x14ac:dyDescent="0.3">
      <c r="B16" s="27"/>
      <c r="C16" s="28" t="s">
        <v>12</v>
      </c>
      <c r="E16" s="29" t="s">
        <v>13</v>
      </c>
    </row>
    <row r="17" spans="2:15" ht="18.75" x14ac:dyDescent="0.3">
      <c r="B17" s="27"/>
      <c r="C17" s="28" t="s">
        <v>14</v>
      </c>
      <c r="E17" s="29" t="s">
        <v>15</v>
      </c>
    </row>
    <row r="18" spans="2:15" ht="20.25" x14ac:dyDescent="0.3">
      <c r="B18" s="27"/>
      <c r="C18" s="28" t="s">
        <v>16</v>
      </c>
      <c r="E18" s="29" t="s">
        <v>17</v>
      </c>
      <c r="N18" s="30"/>
    </row>
    <row r="19" spans="2:15" x14ac:dyDescent="0.2">
      <c r="B19" s="27"/>
      <c r="C19" s="27"/>
      <c r="E19" s="29" t="s">
        <v>18</v>
      </c>
    </row>
    <row r="20" spans="2:15" ht="20.25" x14ac:dyDescent="0.3">
      <c r="B20" s="27"/>
      <c r="C20" s="27"/>
      <c r="E20" s="29"/>
      <c r="O20" s="30"/>
    </row>
    <row r="21" spans="2:15" ht="18.75" x14ac:dyDescent="0.3">
      <c r="B21" s="27"/>
      <c r="C21" s="28" t="s">
        <v>19</v>
      </c>
      <c r="E21" s="29" t="s">
        <v>20</v>
      </c>
    </row>
    <row r="22" spans="2:15" ht="18.75" x14ac:dyDescent="0.3">
      <c r="B22" s="27"/>
      <c r="C22" s="28" t="s">
        <v>21</v>
      </c>
      <c r="E22" s="29" t="s">
        <v>22</v>
      </c>
    </row>
    <row r="23" spans="2:15" ht="18.75" x14ac:dyDescent="0.3">
      <c r="B23" s="27"/>
      <c r="C23" s="28" t="s">
        <v>23</v>
      </c>
      <c r="E23" s="29" t="s">
        <v>24</v>
      </c>
    </row>
    <row r="24" spans="2:15" x14ac:dyDescent="0.2">
      <c r="B24" s="27"/>
      <c r="C24" s="27"/>
      <c r="E24" s="29"/>
    </row>
    <row r="25" spans="2:15" ht="18.75" x14ac:dyDescent="0.3">
      <c r="B25" s="27"/>
      <c r="C25" s="28" t="s">
        <v>25</v>
      </c>
      <c r="E25" s="29" t="s">
        <v>26</v>
      </c>
    </row>
    <row r="26" spans="2:15" ht="18.75" x14ac:dyDescent="0.3">
      <c r="B26" s="27"/>
      <c r="C26" s="28" t="s">
        <v>27</v>
      </c>
      <c r="E26" s="29" t="s">
        <v>28</v>
      </c>
    </row>
    <row r="27" spans="2:15" ht="18.75" x14ac:dyDescent="0.3">
      <c r="B27" s="27"/>
      <c r="C27" s="28" t="s">
        <v>29</v>
      </c>
      <c r="E27" s="29" t="s">
        <v>30</v>
      </c>
    </row>
    <row r="28" spans="2:15" ht="18.75" x14ac:dyDescent="0.3">
      <c r="B28" s="27"/>
      <c r="C28" s="28" t="s">
        <v>31</v>
      </c>
      <c r="E28" s="29"/>
    </row>
    <row r="29" spans="2:15" x14ac:dyDescent="0.2">
      <c r="B29" s="27"/>
      <c r="C29" s="27"/>
      <c r="E29" s="29"/>
    </row>
    <row r="30" spans="2:15" ht="18.75" x14ac:dyDescent="0.3">
      <c r="B30" s="27"/>
      <c r="C30" s="28" t="s">
        <v>32</v>
      </c>
      <c r="E30" s="29" t="s">
        <v>33</v>
      </c>
    </row>
    <row r="31" spans="2:15" ht="18.75" x14ac:dyDescent="0.3">
      <c r="B31" s="27"/>
      <c r="C31" s="28" t="s">
        <v>34</v>
      </c>
      <c r="E31" s="29" t="s">
        <v>35</v>
      </c>
    </row>
    <row r="32" spans="2:15" ht="18.75" x14ac:dyDescent="0.3">
      <c r="B32" s="27"/>
      <c r="C32" s="28" t="s">
        <v>23</v>
      </c>
      <c r="E32" s="29" t="s">
        <v>36</v>
      </c>
    </row>
    <row r="33" spans="1:19" ht="18.75" x14ac:dyDescent="0.3">
      <c r="B33" s="27"/>
      <c r="C33" s="28" t="s">
        <v>37</v>
      </c>
    </row>
    <row r="34" spans="1:19" s="31" customFormat="1" ht="18.75" x14ac:dyDescent="0.3">
      <c r="A34" s="234" t="s">
        <v>360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</row>
    <row r="35" spans="1:19" s="31" customFormat="1" ht="18.75" x14ac:dyDescent="0.3">
      <c r="A35" s="234" t="s">
        <v>38</v>
      </c>
      <c r="B35" s="234"/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</row>
    <row r="36" spans="1:19" ht="18.75" x14ac:dyDescent="0.3">
      <c r="A36" s="234" t="s">
        <v>39</v>
      </c>
      <c r="B36" s="234"/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2"/>
      <c r="R36" s="232"/>
      <c r="S36" s="232"/>
    </row>
    <row r="37" spans="1:19" s="232" customFormat="1" ht="18.75" x14ac:dyDescent="0.3">
      <c r="A37" s="234" t="s">
        <v>347</v>
      </c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3"/>
    </row>
  </sheetData>
  <pageMargins left="0.51" right="0.54" top="0.73" bottom="1" header="0.5" footer="0.5"/>
  <pageSetup scale="64" orientation="landscape" horizontalDpi="4294967292" verticalDpi="300" r:id="rId1"/>
  <headerFooter alignWithMargins="0">
    <oddFooter>&amp;R&amp;8&amp;F&amp;A
&amp;D&amp;T</oddFooter>
  </headerFooter>
  <drawing r:id="rId2"/>
  <legacyDrawing r:id="rId3"/>
  <oleObjects>
    <mc:AlternateContent xmlns:mc="http://schemas.openxmlformats.org/markup-compatibility/2006">
      <mc:Choice Requires="x14">
        <oleObject progId="MS_ClipArt_Gallery.2" shapeId="1025" r:id="rId4">
          <objectPr defaultSize="0" autoFill="0" autoLine="0" autoPict="0" r:id="rId5">
            <anchor moveWithCells="1">
              <from>
                <xdr:col>1</xdr:col>
                <xdr:colOff>0</xdr:colOff>
                <xdr:row>10</xdr:row>
                <xdr:rowOff>180975</xdr:rowOff>
              </from>
              <to>
                <xdr:col>1</xdr:col>
                <xdr:colOff>428625</xdr:colOff>
                <xdr:row>14</xdr:row>
                <xdr:rowOff>76200</xdr:rowOff>
              </to>
            </anchor>
          </objectPr>
        </oleObject>
      </mc:Choice>
      <mc:Fallback>
        <oleObject progId="MS_ClipArt_Gallery.2" shapeId="1025" r:id="rId4"/>
      </mc:Fallback>
    </mc:AlternateContent>
    <mc:AlternateContent xmlns:mc="http://schemas.openxmlformats.org/markup-compatibility/2006">
      <mc:Choice Requires="x14">
        <oleObject progId="MS_ClipArt_Gallery.2" shapeId="1026" r:id="rId6">
          <objectPr defaultSize="0" autoFill="0" autoLine="0" autoPict="0" r:id="rId5">
            <anchor moveWithCells="1">
              <from>
                <xdr:col>1</xdr:col>
                <xdr:colOff>0</xdr:colOff>
                <xdr:row>19</xdr:row>
                <xdr:rowOff>104775</xdr:rowOff>
              </from>
              <to>
                <xdr:col>1</xdr:col>
                <xdr:colOff>428625</xdr:colOff>
                <xdr:row>22</xdr:row>
                <xdr:rowOff>76200</xdr:rowOff>
              </to>
            </anchor>
          </objectPr>
        </oleObject>
      </mc:Choice>
      <mc:Fallback>
        <oleObject progId="MS_ClipArt_Gallery.2" shapeId="1026" r:id="rId6"/>
      </mc:Fallback>
    </mc:AlternateContent>
    <mc:AlternateContent xmlns:mc="http://schemas.openxmlformats.org/markup-compatibility/2006">
      <mc:Choice Requires="x14">
        <oleObject progId="MS_ClipArt_Gallery.2" shapeId="1027" r:id="rId7">
          <objectPr defaultSize="0" autoFill="0" autoLine="0" autoPict="0" r:id="rId5">
            <anchor moveWithCells="1">
              <from>
                <xdr:col>1</xdr:col>
                <xdr:colOff>0</xdr:colOff>
                <xdr:row>24</xdr:row>
                <xdr:rowOff>28575</xdr:rowOff>
              </from>
              <to>
                <xdr:col>1</xdr:col>
                <xdr:colOff>428625</xdr:colOff>
                <xdr:row>27</xdr:row>
                <xdr:rowOff>19050</xdr:rowOff>
              </to>
            </anchor>
          </objectPr>
        </oleObject>
      </mc:Choice>
      <mc:Fallback>
        <oleObject progId="MS_ClipArt_Gallery.2" shapeId="1027" r:id="rId7"/>
      </mc:Fallback>
    </mc:AlternateContent>
    <mc:AlternateContent xmlns:mc="http://schemas.openxmlformats.org/markup-compatibility/2006">
      <mc:Choice Requires="x14">
        <oleObject progId="MS_ClipArt_Gallery.2" shapeId="1028" r:id="rId8">
          <objectPr defaultSize="0" autoFill="0" autoLine="0" autoPict="0" r:id="rId5">
            <anchor moveWithCells="1">
              <from>
                <xdr:col>1</xdr:col>
                <xdr:colOff>0</xdr:colOff>
                <xdr:row>15</xdr:row>
                <xdr:rowOff>9525</xdr:rowOff>
              </from>
              <to>
                <xdr:col>1</xdr:col>
                <xdr:colOff>428625</xdr:colOff>
                <xdr:row>17</xdr:row>
                <xdr:rowOff>238125</xdr:rowOff>
              </to>
            </anchor>
          </objectPr>
        </oleObject>
      </mc:Choice>
      <mc:Fallback>
        <oleObject progId="MS_ClipArt_Gallery.2" shapeId="1028" r:id="rId8"/>
      </mc:Fallback>
    </mc:AlternateContent>
    <mc:AlternateContent xmlns:mc="http://schemas.openxmlformats.org/markup-compatibility/2006">
      <mc:Choice Requires="x14">
        <oleObject progId="MS_ClipArt_Gallery.2" shapeId="1029" r:id="rId9">
          <objectPr defaultSize="0" autoFill="0" autoLine="0" autoPict="0" r:id="rId5">
            <anchor moveWithCells="1">
              <from>
                <xdr:col>1</xdr:col>
                <xdr:colOff>0</xdr:colOff>
                <xdr:row>28</xdr:row>
                <xdr:rowOff>180975</xdr:rowOff>
              </from>
              <to>
                <xdr:col>1</xdr:col>
                <xdr:colOff>428625</xdr:colOff>
                <xdr:row>31</xdr:row>
                <xdr:rowOff>219075</xdr:rowOff>
              </to>
            </anchor>
          </objectPr>
        </oleObject>
      </mc:Choice>
      <mc:Fallback>
        <oleObject progId="MS_ClipArt_Gallery.2" shapeId="1029" r:id="rId9"/>
      </mc:Fallback>
    </mc:AlternateContent>
    <mc:AlternateContent xmlns:mc="http://schemas.openxmlformats.org/markup-compatibility/2006">
      <mc:Choice Requires="x14">
        <oleObject progId="MS_ClipArt_Gallery.2" shapeId="1031" r:id="rId10">
          <objectPr defaultSize="0" autoFill="0" autoLine="0" autoPict="0" r:id="rId5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428625</xdr:colOff>
                <xdr:row>10</xdr:row>
                <xdr:rowOff>85725</xdr:rowOff>
              </to>
            </anchor>
          </objectPr>
        </oleObject>
      </mc:Choice>
      <mc:Fallback>
        <oleObject progId="MS_ClipArt_Gallery.2" shapeId="1031" r:id="rId10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2" zoomScale="75" workbookViewId="0">
      <selection activeCell="E20" sqref="E20"/>
    </sheetView>
  </sheetViews>
  <sheetFormatPr defaultRowHeight="15" x14ac:dyDescent="0.2"/>
  <sheetData>
    <row r="1" spans="1:7" x14ac:dyDescent="0.2">
      <c r="C1" t="s">
        <v>325</v>
      </c>
      <c r="D1" t="s">
        <v>326</v>
      </c>
      <c r="E1" t="s">
        <v>327</v>
      </c>
      <c r="F1" t="s">
        <v>328</v>
      </c>
      <c r="G1" t="s">
        <v>329</v>
      </c>
    </row>
    <row r="3" spans="1:7" x14ac:dyDescent="0.2">
      <c r="A3" s="174" t="s">
        <v>114</v>
      </c>
      <c r="C3" s="162"/>
      <c r="D3" s="162"/>
      <c r="E3" s="162"/>
      <c r="F3" s="162"/>
      <c r="G3" s="162"/>
    </row>
    <row r="4" spans="1:7" x14ac:dyDescent="0.2">
      <c r="C4" s="162"/>
      <c r="D4" s="162"/>
      <c r="E4" s="162"/>
      <c r="F4" s="162"/>
      <c r="G4" s="162"/>
    </row>
    <row r="5" spans="1:7" x14ac:dyDescent="0.2">
      <c r="A5" t="s">
        <v>330</v>
      </c>
      <c r="C5" s="162">
        <f>ROUND(+Detail!D341/1000,0)</f>
        <v>3138</v>
      </c>
      <c r="D5" s="162">
        <f>+Detail!E341/1000</f>
        <v>4280.8249999999998</v>
      </c>
      <c r="E5" s="162">
        <f>+Detail!R341/1000</f>
        <v>6776.9089999999997</v>
      </c>
      <c r="F5" s="162">
        <f>+Detail!S341/1000</f>
        <v>6751.0514855599995</v>
      </c>
      <c r="G5" s="162">
        <f>+Detail!T341/1000</f>
        <v>7028.621984982401</v>
      </c>
    </row>
    <row r="6" spans="1:7" x14ac:dyDescent="0.2">
      <c r="C6" s="162"/>
      <c r="D6" s="162"/>
      <c r="E6" s="162"/>
      <c r="F6" s="162"/>
      <c r="G6" s="162"/>
    </row>
    <row r="7" spans="1:7" x14ac:dyDescent="0.2">
      <c r="A7" t="s">
        <v>331</v>
      </c>
      <c r="C7" s="162">
        <f>ROUND(+Allocations!C7/1000,0)</f>
        <v>3138</v>
      </c>
      <c r="D7" s="162">
        <f>+Allocations!D7/1000</f>
        <v>4280.8249999999998</v>
      </c>
      <c r="E7" s="162">
        <f>+Allocations!Q7/1000</f>
        <v>6776.9089999999997</v>
      </c>
      <c r="F7" s="162">
        <f>+Allocations!R7/1000</f>
        <v>6751.0514855599995</v>
      </c>
      <c r="G7" s="162">
        <f>+Allocations!S7/1000</f>
        <v>7028.621984982401</v>
      </c>
    </row>
    <row r="8" spans="1:7" x14ac:dyDescent="0.2">
      <c r="C8" s="162"/>
      <c r="D8" s="162"/>
      <c r="E8" s="162"/>
      <c r="F8" s="162"/>
      <c r="G8" s="162"/>
    </row>
    <row r="9" spans="1:7" x14ac:dyDescent="0.2">
      <c r="A9" t="s">
        <v>332</v>
      </c>
      <c r="C9" s="162">
        <f>ROUND(+'Exec Summ'!D31,0)</f>
        <v>3138</v>
      </c>
      <c r="D9" s="162">
        <f>+'Exec Summ'!F31</f>
        <v>4281</v>
      </c>
      <c r="E9" s="162">
        <f>+'Exec Summ'!H31</f>
        <v>6776</v>
      </c>
      <c r="F9" s="162">
        <f>+'Exec Summ'!J31</f>
        <v>6752</v>
      </c>
      <c r="G9" s="162">
        <f>+'Exec Summ'!L31</f>
        <v>7028</v>
      </c>
    </row>
    <row r="10" spans="1:7" x14ac:dyDescent="0.2">
      <c r="C10" s="162"/>
      <c r="D10" s="162"/>
      <c r="E10" s="162"/>
      <c r="F10" s="162"/>
      <c r="G10" s="162"/>
    </row>
    <row r="11" spans="1:7" x14ac:dyDescent="0.2">
      <c r="A11" t="s">
        <v>333</v>
      </c>
      <c r="C11" s="162"/>
      <c r="D11" s="162"/>
      <c r="E11" s="162" t="e">
        <f>SUM('MSA  Interface'!#REF!)/1000</f>
        <v>#REF!</v>
      </c>
      <c r="F11" s="162" t="e">
        <f>+'MSA  Interface'!#REF!/1000</f>
        <v>#REF!</v>
      </c>
      <c r="G11" s="162" t="e">
        <f>+'MSA  Interface'!#REF!/1000</f>
        <v>#REF!</v>
      </c>
    </row>
    <row r="12" spans="1:7" x14ac:dyDescent="0.2">
      <c r="C12" s="162"/>
      <c r="D12" s="162"/>
      <c r="E12" s="162"/>
      <c r="F12" s="162"/>
      <c r="G12" s="162"/>
    </row>
    <row r="13" spans="1:7" x14ac:dyDescent="0.2">
      <c r="A13" s="174" t="s">
        <v>114</v>
      </c>
      <c r="C13" s="162"/>
      <c r="D13" s="162"/>
      <c r="E13" s="162"/>
      <c r="F13" s="162"/>
      <c r="G13" s="162"/>
    </row>
    <row r="14" spans="1:7" x14ac:dyDescent="0.2">
      <c r="C14" s="162"/>
      <c r="D14" s="162"/>
      <c r="E14" s="162"/>
      <c r="F14" s="162"/>
      <c r="G14" s="162"/>
    </row>
    <row r="15" spans="1:7" x14ac:dyDescent="0.2">
      <c r="C15" s="162"/>
      <c r="D15" s="162"/>
      <c r="E15" s="162"/>
      <c r="F15" s="162"/>
      <c r="G15" s="162"/>
    </row>
    <row r="16" spans="1:7" x14ac:dyDescent="0.2">
      <c r="A16" t="s">
        <v>331</v>
      </c>
      <c r="C16" s="162">
        <f>+Allocations!C51/1000</f>
        <v>-3138.2350000000001</v>
      </c>
      <c r="D16" s="162">
        <f>+Allocations!D51/1000</f>
        <v>-3138.24</v>
      </c>
      <c r="E16" s="162">
        <f>+Allocations!Q51/1000</f>
        <v>-6031.4490099999994</v>
      </c>
      <c r="F16" s="162">
        <f>+Allocations!R51/1000</f>
        <v>-6008.435822148399</v>
      </c>
      <c r="G16" s="162">
        <f>+Allocations!S51/1000</f>
        <v>-6255.4735666343367</v>
      </c>
    </row>
    <row r="17" spans="1:9" x14ac:dyDescent="0.2">
      <c r="C17" s="162"/>
      <c r="D17" s="162"/>
      <c r="E17" s="162"/>
      <c r="F17" s="162"/>
      <c r="G17" s="162"/>
    </row>
    <row r="18" spans="1:9" x14ac:dyDescent="0.2">
      <c r="A18" t="s">
        <v>332</v>
      </c>
      <c r="C18" s="162">
        <f>+'Exec Summ'!D33</f>
        <v>-3138</v>
      </c>
      <c r="D18" s="162">
        <f>+'Exec Summ'!F33</f>
        <v>-3138</v>
      </c>
      <c r="E18" s="162">
        <f>+'Exec Summ'!H33</f>
        <v>-6031</v>
      </c>
      <c r="F18" s="162">
        <f>+'Exec Summ'!J33</f>
        <v>-6008</v>
      </c>
      <c r="G18" s="162">
        <f>+'Exec Summ'!L33</f>
        <v>-6255</v>
      </c>
    </row>
    <row r="19" spans="1:9" x14ac:dyDescent="0.2">
      <c r="C19" s="162"/>
      <c r="D19" s="162"/>
      <c r="E19" s="162"/>
      <c r="F19" s="162"/>
      <c r="G19" s="162"/>
    </row>
    <row r="20" spans="1:9" x14ac:dyDescent="0.2">
      <c r="A20" t="s">
        <v>333</v>
      </c>
      <c r="C20" s="162"/>
      <c r="D20" s="162"/>
      <c r="E20" s="162">
        <f>SUM('MSA  Interface'!F2:F36)/1000</f>
        <v>-5218.2199299999993</v>
      </c>
      <c r="F20" s="162">
        <f>SUM('MSA  Interface'!H43:H74)/1000</f>
        <v>-5333.3306735923998</v>
      </c>
      <c r="G20" s="162">
        <f>SUM('MSA  Interface'!I43:I74)/1000</f>
        <v>-5552.6113681360966</v>
      </c>
    </row>
    <row r="23" spans="1:9" x14ac:dyDescent="0.2">
      <c r="I23" s="162"/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K2"/>
  <sheetViews>
    <sheetView zoomScale="60" workbookViewId="0">
      <selection activeCell="C32" sqref="C32"/>
    </sheetView>
  </sheetViews>
  <sheetFormatPr defaultRowHeight="15" x14ac:dyDescent="0.2"/>
  <cols>
    <col min="15" max="15" width="6" customWidth="1"/>
  </cols>
  <sheetData>
    <row r="2" spans="6:11" ht="18" x14ac:dyDescent="0.25">
      <c r="F2" s="84" t="str">
        <f>+Intro!C3</f>
        <v>Research Group - Kaminski</v>
      </c>
      <c r="G2" s="84"/>
      <c r="H2" s="84"/>
      <c r="I2" s="84"/>
      <c r="J2" s="84"/>
      <c r="K2" s="84"/>
    </row>
  </sheetData>
  <pageMargins left="0.75" right="0.75" top="1" bottom="1" header="0.5" footer="0.5"/>
  <pageSetup orientation="portrait" horizontalDpi="4294967292" verticalDpi="300" r:id="rId1"/>
  <headerFooter alignWithMargins="0">
    <oddFooter>&amp;R&amp;8&amp;F&amp;A
&amp;D&amp;T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zoomScale="75" workbookViewId="0"/>
  </sheetViews>
  <sheetFormatPr defaultRowHeight="15" x14ac:dyDescent="0.2"/>
  <cols>
    <col min="1" max="1" width="17.33203125" style="4" customWidth="1"/>
    <col min="2" max="3" width="8.88671875" style="4"/>
    <col min="4" max="4" width="5.77734375" style="4" customWidth="1"/>
    <col min="5" max="5" width="16.109375" style="4" customWidth="1"/>
    <col min="6" max="7" width="8.88671875" style="4"/>
    <col min="8" max="8" width="3.21875" style="4" customWidth="1"/>
    <col min="9" max="9" width="12.88671875" style="4" customWidth="1"/>
    <col min="10" max="10" width="8.88671875" style="4"/>
    <col min="11" max="11" width="12.88671875" style="4" customWidth="1"/>
    <col min="12" max="16384" width="8.88671875" style="4"/>
  </cols>
  <sheetData>
    <row r="1" spans="1:11" ht="18" x14ac:dyDescent="0.25">
      <c r="A1" s="1" t="s">
        <v>348</v>
      </c>
      <c r="B1" s="2"/>
      <c r="C1" s="3"/>
      <c r="D1" s="3"/>
      <c r="E1" s="3"/>
      <c r="F1" s="3"/>
      <c r="G1" s="3"/>
      <c r="H1" s="3"/>
      <c r="I1" s="3"/>
      <c r="J1" s="2"/>
      <c r="K1" s="71">
        <f ca="1">NOW()</f>
        <v>41887.551481365743</v>
      </c>
    </row>
    <row r="3" spans="1:11" ht="15.75" x14ac:dyDescent="0.25">
      <c r="A3" s="227" t="s">
        <v>40</v>
      </c>
    </row>
    <row r="4" spans="1:11" x14ac:dyDescent="0.2">
      <c r="A4" s="4" t="s">
        <v>41</v>
      </c>
      <c r="E4" s="192"/>
    </row>
    <row r="5" spans="1:11" x14ac:dyDescent="0.2">
      <c r="A5" s="4" t="s">
        <v>42</v>
      </c>
      <c r="E5" s="193"/>
    </row>
    <row r="6" spans="1:11" x14ac:dyDescent="0.2">
      <c r="A6" s="34"/>
      <c r="E6" s="194"/>
    </row>
    <row r="7" spans="1:11" ht="15.75" x14ac:dyDescent="0.25">
      <c r="A7" s="227" t="s">
        <v>43</v>
      </c>
      <c r="E7" s="194"/>
    </row>
    <row r="8" spans="1:11" x14ac:dyDescent="0.2">
      <c r="A8" s="4" t="s">
        <v>41</v>
      </c>
      <c r="E8" s="194"/>
    </row>
    <row r="9" spans="1:11" x14ac:dyDescent="0.2">
      <c r="A9" s="4" t="s">
        <v>44</v>
      </c>
      <c r="E9" s="192"/>
    </row>
    <row r="10" spans="1:11" x14ac:dyDescent="0.2">
      <c r="A10" s="38" t="s">
        <v>45</v>
      </c>
      <c r="E10" s="193"/>
    </row>
    <row r="11" spans="1:11" x14ac:dyDescent="0.2">
      <c r="A11" s="38" t="s">
        <v>46</v>
      </c>
      <c r="E11" s="192"/>
    </row>
    <row r="12" spans="1:11" x14ac:dyDescent="0.2">
      <c r="A12" s="72"/>
      <c r="E12" s="192"/>
    </row>
    <row r="13" spans="1:11" ht="15.75" x14ac:dyDescent="0.25">
      <c r="A13" s="227" t="s">
        <v>47</v>
      </c>
      <c r="E13" s="192"/>
    </row>
    <row r="14" spans="1:11" x14ac:dyDescent="0.2">
      <c r="A14" s="4" t="s">
        <v>41</v>
      </c>
      <c r="E14" s="192"/>
      <c r="I14" s="34"/>
    </row>
    <row r="15" spans="1:11" x14ac:dyDescent="0.2">
      <c r="A15" s="4" t="s">
        <v>48</v>
      </c>
      <c r="E15" s="193"/>
    </row>
    <row r="16" spans="1:11" x14ac:dyDescent="0.2">
      <c r="A16" s="4" t="s">
        <v>49</v>
      </c>
      <c r="E16" s="192"/>
    </row>
    <row r="17" spans="1:5" x14ac:dyDescent="0.2">
      <c r="E17" s="192"/>
    </row>
    <row r="18" spans="1:5" ht="15.75" x14ac:dyDescent="0.25">
      <c r="A18" s="227" t="s">
        <v>50</v>
      </c>
      <c r="E18" s="192"/>
    </row>
    <row r="19" spans="1:5" x14ac:dyDescent="0.2">
      <c r="A19" s="4" t="s">
        <v>51</v>
      </c>
      <c r="E19" s="192"/>
    </row>
    <row r="20" spans="1:5" x14ac:dyDescent="0.2">
      <c r="A20" s="4" t="s">
        <v>52</v>
      </c>
      <c r="E20" s="192"/>
    </row>
    <row r="21" spans="1:5" x14ac:dyDescent="0.2">
      <c r="A21" s="4" t="s">
        <v>53</v>
      </c>
      <c r="E21" s="192"/>
    </row>
    <row r="22" spans="1:5" x14ac:dyDescent="0.2">
      <c r="E22" s="192"/>
    </row>
    <row r="23" spans="1:5" ht="15.75" x14ac:dyDescent="0.25">
      <c r="A23" s="227" t="s">
        <v>54</v>
      </c>
      <c r="E23" s="192"/>
    </row>
    <row r="24" spans="1:5" x14ac:dyDescent="0.2">
      <c r="A24" s="4" t="s">
        <v>41</v>
      </c>
      <c r="E24" s="193"/>
    </row>
    <row r="25" spans="1:5" x14ac:dyDescent="0.2">
      <c r="A25" s="4" t="s">
        <v>55</v>
      </c>
      <c r="E25" s="192"/>
    </row>
    <row r="26" spans="1:5" x14ac:dyDescent="0.2">
      <c r="A26" s="4" t="s">
        <v>53</v>
      </c>
      <c r="E26" s="192"/>
    </row>
    <row r="27" spans="1:5" x14ac:dyDescent="0.2">
      <c r="E27" s="192"/>
    </row>
    <row r="28" spans="1:5" ht="15.75" x14ac:dyDescent="0.25">
      <c r="A28" s="227" t="s">
        <v>56</v>
      </c>
      <c r="E28" s="192"/>
    </row>
    <row r="29" spans="1:5" x14ac:dyDescent="0.2">
      <c r="A29" s="4" t="s">
        <v>41</v>
      </c>
      <c r="E29" s="192"/>
    </row>
    <row r="30" spans="1:5" x14ac:dyDescent="0.2">
      <c r="A30" s="4" t="s">
        <v>57</v>
      </c>
      <c r="E30" s="192"/>
    </row>
    <row r="31" spans="1:5" x14ac:dyDescent="0.2">
      <c r="A31" s="4" t="s">
        <v>58</v>
      </c>
    </row>
    <row r="32" spans="1:5" x14ac:dyDescent="0.2">
      <c r="A32" s="4" t="s">
        <v>59</v>
      </c>
    </row>
    <row r="34" spans="1:5" x14ac:dyDescent="0.2">
      <c r="A34" s="32"/>
      <c r="E34" s="34"/>
    </row>
    <row r="35" spans="1:5" x14ac:dyDescent="0.2">
      <c r="A35" s="4" t="s">
        <v>60</v>
      </c>
    </row>
  </sheetData>
  <pageMargins left="0.75" right="0.75" top="1" bottom="1" header="0.5" footer="0.5"/>
  <pageSetup orientation="portrait" horizontalDpi="4294967292" verticalDpi="300" r:id="rId1"/>
  <headerFooter alignWithMargins="0">
    <oddFooter>&amp;R&amp;8&amp;F&amp;A
&amp;D&amp;T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Line="0" autoPict="0" macro="[0]!GoTO_Detail">
                <anchor moveWithCells="1" sizeWithCells="1">
                  <from>
                    <xdr:col>1</xdr:col>
                    <xdr:colOff>428625</xdr:colOff>
                    <xdr:row>1</xdr:row>
                    <xdr:rowOff>171450</xdr:rowOff>
                  </from>
                  <to>
                    <xdr:col>3</xdr:col>
                    <xdr:colOff>409575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Button 7">
              <controlPr defaultSize="0" print="0" autoFill="0" autoLine="0" autoPict="0" macro="[0]!GoTO_Exhibit_A">
                <anchor moveWithCells="1" sizeWithCells="1">
                  <from>
                    <xdr:col>1</xdr:col>
                    <xdr:colOff>371475</xdr:colOff>
                    <xdr:row>22</xdr:row>
                    <xdr:rowOff>85725</xdr:rowOff>
                  </from>
                  <to>
                    <xdr:col>3</xdr:col>
                    <xdr:colOff>352425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Button 8">
              <controlPr defaultSize="0" print="0" autoFill="0" autoLine="0" autoPict="0" macro="[0]!GoTO_Headcount">
                <anchor moveWithCells="1" sizeWithCells="1">
                  <from>
                    <xdr:col>1</xdr:col>
                    <xdr:colOff>342900</xdr:colOff>
                    <xdr:row>27</xdr:row>
                    <xdr:rowOff>152400</xdr:rowOff>
                  </from>
                  <to>
                    <xdr:col>3</xdr:col>
                    <xdr:colOff>323850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Button 9">
              <controlPr defaultSize="0" print="0" autoFill="0" autoLine="0" autoPict="0" macro="[0]!GoTO_Capital">
                <anchor moveWithCells="1" sizeWithCells="1">
                  <from>
                    <xdr:col>1</xdr:col>
                    <xdr:colOff>400050</xdr:colOff>
                    <xdr:row>11</xdr:row>
                    <xdr:rowOff>171450</xdr:rowOff>
                  </from>
                  <to>
                    <xdr:col>3</xdr:col>
                    <xdr:colOff>390525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8" name="Button 13">
              <controlPr defaultSize="0" print="0" autoFill="0" autoLine="0" autoPict="0" macro="[0]!GoTO_Exec_Summ">
                <anchor moveWithCells="1" sizeWithCells="1">
                  <from>
                    <xdr:col>1</xdr:col>
                    <xdr:colOff>371475</xdr:colOff>
                    <xdr:row>17</xdr:row>
                    <xdr:rowOff>38100</xdr:rowOff>
                  </from>
                  <to>
                    <xdr:col>3</xdr:col>
                    <xdr:colOff>352425</xdr:colOff>
                    <xdr:row>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" name="Button 14">
              <controlPr defaultSize="0" print="0" autoFill="0" autoLine="0" autoPict="0" macro="[0]!Print_Executive_Summary">
                <anchor moveWithCells="1" sizeWithCells="1">
                  <from>
                    <xdr:col>4</xdr:col>
                    <xdr:colOff>1152525</xdr:colOff>
                    <xdr:row>17</xdr:row>
                    <xdr:rowOff>28575</xdr:rowOff>
                  </from>
                  <to>
                    <xdr:col>6</xdr:col>
                    <xdr:colOff>647700</xdr:colOff>
                    <xdr:row>20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0" name="Button 15">
              <controlPr defaultSize="0" print="0" autoFill="0" autoLine="0" autoPict="0" macro="[0]!GoTO_Budget_Interface">
                <anchor moveWithCells="1" sizeWithCells="1">
                  <from>
                    <xdr:col>1</xdr:col>
                    <xdr:colOff>381000</xdr:colOff>
                    <xdr:row>33</xdr:row>
                    <xdr:rowOff>9525</xdr:rowOff>
                  </from>
                  <to>
                    <xdr:col>3</xdr:col>
                    <xdr:colOff>371475</xdr:colOff>
                    <xdr:row>36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1" name="Button 16">
              <controlPr defaultSize="0" print="0" autoFill="0" autoLine="0" autoPict="0" macro="[0]!Print_EIS">
                <anchor moveWithCells="1" sizeWithCells="1">
                  <from>
                    <xdr:col>4</xdr:col>
                    <xdr:colOff>1133475</xdr:colOff>
                    <xdr:row>22</xdr:row>
                    <xdr:rowOff>104775</xdr:rowOff>
                  </from>
                  <to>
                    <xdr:col>6</xdr:col>
                    <xdr:colOff>628650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2" name="Button 17">
              <controlPr defaultSize="0" print="0" autoFill="0" autoLine="0" autoPict="0" macro="[0]!Print_detail">
                <anchor moveWithCells="1" sizeWithCells="1">
                  <from>
                    <xdr:col>4</xdr:col>
                    <xdr:colOff>1190625</xdr:colOff>
                    <xdr:row>2</xdr:row>
                    <xdr:rowOff>0</xdr:rowOff>
                  </from>
                  <to>
                    <xdr:col>6</xdr:col>
                    <xdr:colOff>685800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3" name="Button 18">
              <controlPr defaultSize="0" print="0" autoFill="0" autoLine="0" autoPict="0" macro="[0]!Print_all">
                <anchor moveWithCells="1" sizeWithCells="1">
                  <from>
                    <xdr:col>3</xdr:col>
                    <xdr:colOff>104775</xdr:colOff>
                    <xdr:row>38</xdr:row>
                    <xdr:rowOff>76200</xdr:rowOff>
                  </from>
                  <to>
                    <xdr:col>5</xdr:col>
                    <xdr:colOff>161925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4" name="Button 19">
              <controlPr defaultSize="0" print="0" autoFill="0" autoLine="0" autoPict="0" macro="[0]!Print_Budget_System_file">
                <anchor moveWithCells="1" sizeWithCells="1">
                  <from>
                    <xdr:col>4</xdr:col>
                    <xdr:colOff>1133475</xdr:colOff>
                    <xdr:row>33</xdr:row>
                    <xdr:rowOff>28575</xdr:rowOff>
                  </from>
                  <to>
                    <xdr:col>6</xdr:col>
                    <xdr:colOff>638175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5" name="Button 20">
              <controlPr defaultSize="0" print="0" autoFill="0" autoLine="0" autoPict="0" macro="[0]!Print_Headcount">
                <anchor moveWithCells="1" sizeWithCells="1">
                  <from>
                    <xdr:col>4</xdr:col>
                    <xdr:colOff>1133475</xdr:colOff>
                    <xdr:row>27</xdr:row>
                    <xdr:rowOff>123825</xdr:rowOff>
                  </from>
                  <to>
                    <xdr:col>6</xdr:col>
                    <xdr:colOff>638175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6" name="Button 21">
              <controlPr defaultSize="0" print="0" autoFill="0" autoLine="0" autoPict="0" macro="[0]!Print_capital">
                <anchor moveWithCells="1" sizeWithCells="1">
                  <from>
                    <xdr:col>4</xdr:col>
                    <xdr:colOff>1171575</xdr:colOff>
                    <xdr:row>11</xdr:row>
                    <xdr:rowOff>142875</xdr:rowOff>
                  </from>
                  <to>
                    <xdr:col>6</xdr:col>
                    <xdr:colOff>666750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7" name="Button 23">
              <controlPr defaultSize="0" print="0" autoFill="0" autoLine="0" autoPict="0" macro="[0]!GOTO_DIST">
                <anchor moveWithCells="1" sizeWithCells="1">
                  <from>
                    <xdr:col>1</xdr:col>
                    <xdr:colOff>428625</xdr:colOff>
                    <xdr:row>6</xdr:row>
                    <xdr:rowOff>142875</xdr:rowOff>
                  </from>
                  <to>
                    <xdr:col>3</xdr:col>
                    <xdr:colOff>409575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8" name="Button 24">
              <controlPr defaultSize="0" print="0" autoFill="0" autoLine="0" autoPict="0" macro="[0]!Print_Distributions">
                <anchor moveWithCells="1" sizeWithCells="1">
                  <from>
                    <xdr:col>4</xdr:col>
                    <xdr:colOff>1181100</xdr:colOff>
                    <xdr:row>6</xdr:row>
                    <xdr:rowOff>161925</xdr:rowOff>
                  </from>
                  <to>
                    <xdr:col>6</xdr:col>
                    <xdr:colOff>676275</xdr:colOff>
                    <xdr:row>10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opLeftCell="A10" zoomScale="75" workbookViewId="0"/>
  </sheetViews>
  <sheetFormatPr defaultColWidth="8.6640625" defaultRowHeight="15" x14ac:dyDescent="0.2"/>
  <cols>
    <col min="1" max="1" width="6" style="14" customWidth="1"/>
    <col min="2" max="2" width="21.21875" style="14" customWidth="1"/>
    <col min="3" max="3" width="4.21875" style="14" customWidth="1"/>
    <col min="4" max="4" width="8.6640625" style="14"/>
    <col min="5" max="5" width="2.77734375" style="14" customWidth="1"/>
    <col min="6" max="6" width="8.6640625" style="14"/>
    <col min="7" max="7" width="3.33203125" style="336" customWidth="1"/>
    <col min="8" max="8" width="8.6640625" style="14"/>
    <col min="9" max="9" width="2.77734375" style="14" customWidth="1"/>
    <col min="10" max="10" width="8.6640625" style="14"/>
    <col min="11" max="11" width="2.77734375" style="14" customWidth="1"/>
    <col min="12" max="12" width="8.6640625" style="14"/>
    <col min="13" max="13" width="2.44140625" style="14" customWidth="1"/>
    <col min="14" max="14" width="8.6640625" style="14"/>
    <col min="15" max="15" width="3.44140625" style="14" customWidth="1"/>
    <col min="16" max="16" width="3.21875" style="14" customWidth="1"/>
    <col min="17" max="17" width="13" style="14" customWidth="1"/>
    <col min="18" max="16384" width="8.6640625" style="14"/>
  </cols>
  <sheetData>
    <row r="1" spans="1:19" x14ac:dyDescent="0.2">
      <c r="A1" s="409">
        <f>+Intro!C4</f>
        <v>11</v>
      </c>
      <c r="B1" s="187">
        <f>+Intro!F4</f>
        <v>100038</v>
      </c>
    </row>
    <row r="2" spans="1:19" ht="18" x14ac:dyDescent="0.25">
      <c r="A2" s="84"/>
      <c r="B2" s="146"/>
      <c r="C2" s="146"/>
      <c r="D2" s="146"/>
      <c r="E2" s="146"/>
      <c r="F2" s="146"/>
      <c r="G2" s="337"/>
      <c r="H2" s="146"/>
      <c r="I2" s="146"/>
      <c r="J2" s="146"/>
      <c r="K2" s="146"/>
      <c r="L2" s="146"/>
    </row>
    <row r="3" spans="1:19" ht="18" x14ac:dyDescent="0.25">
      <c r="A3" s="84" t="str">
        <f>+Intro!C3</f>
        <v>Research Group - Kaminski</v>
      </c>
      <c r="B3" s="146"/>
      <c r="C3" s="146"/>
      <c r="D3" s="146"/>
      <c r="E3" s="146"/>
      <c r="F3" s="146"/>
      <c r="G3" s="337"/>
      <c r="H3" s="146"/>
      <c r="I3" s="146"/>
      <c r="J3" s="146"/>
      <c r="K3" s="146"/>
      <c r="L3" s="146"/>
    </row>
    <row r="4" spans="1:19" s="15" customFormat="1" ht="18" x14ac:dyDescent="0.25">
      <c r="A4" s="84" t="s">
        <v>350</v>
      </c>
      <c r="B4" s="21"/>
      <c r="C4" s="21"/>
      <c r="D4" s="21"/>
      <c r="E4" s="21"/>
      <c r="F4" s="21"/>
      <c r="G4" s="338"/>
      <c r="H4" s="21"/>
      <c r="I4" s="21"/>
      <c r="J4" s="21"/>
      <c r="K4" s="21"/>
      <c r="L4" s="21"/>
    </row>
    <row r="5" spans="1:19" s="15" customFormat="1" ht="18" x14ac:dyDescent="0.25">
      <c r="A5" s="84" t="s">
        <v>253</v>
      </c>
      <c r="B5" s="21"/>
      <c r="C5" s="21"/>
      <c r="D5" s="21"/>
      <c r="E5" s="21"/>
      <c r="F5" s="21"/>
      <c r="G5" s="338"/>
      <c r="H5" s="21"/>
      <c r="I5" s="21"/>
      <c r="J5" s="21"/>
      <c r="K5" s="21"/>
      <c r="L5" s="21"/>
    </row>
    <row r="6" spans="1:19" s="15" customFormat="1" ht="15.75" x14ac:dyDescent="0.25">
      <c r="A6" s="166" t="s">
        <v>254</v>
      </c>
      <c r="B6" s="21"/>
      <c r="C6" s="21"/>
      <c r="D6" s="21"/>
      <c r="E6" s="21"/>
      <c r="F6" s="21"/>
      <c r="G6" s="338"/>
      <c r="H6" s="21"/>
      <c r="I6" s="21"/>
      <c r="J6" s="21"/>
      <c r="K6" s="21"/>
      <c r="L6" s="21"/>
    </row>
    <row r="7" spans="1:19" x14ac:dyDescent="0.2">
      <c r="B7" s="18"/>
    </row>
    <row r="8" spans="1:19" x14ac:dyDescent="0.2">
      <c r="D8" s="14" t="s">
        <v>189</v>
      </c>
    </row>
    <row r="9" spans="1:19" x14ac:dyDescent="0.2">
      <c r="D9" s="147">
        <v>1999</v>
      </c>
      <c r="E9" s="147"/>
      <c r="F9" s="147">
        <v>1999</v>
      </c>
      <c r="G9" s="341"/>
      <c r="H9" s="149" t="s">
        <v>255</v>
      </c>
      <c r="I9" s="149"/>
      <c r="J9" s="149"/>
      <c r="K9" s="149"/>
      <c r="L9" s="149"/>
    </row>
    <row r="10" spans="1:19" x14ac:dyDescent="0.2">
      <c r="A10" s="150"/>
      <c r="B10" s="150" t="s">
        <v>256</v>
      </c>
      <c r="D10" s="151" t="s">
        <v>65</v>
      </c>
      <c r="E10" s="151"/>
      <c r="F10" s="151" t="s">
        <v>66</v>
      </c>
      <c r="G10" s="341"/>
      <c r="H10" s="151">
        <v>2000</v>
      </c>
      <c r="I10" s="151"/>
      <c r="J10" s="151">
        <v>2001</v>
      </c>
      <c r="K10" s="151"/>
      <c r="L10" s="151">
        <v>2002</v>
      </c>
    </row>
    <row r="11" spans="1:19" ht="7.15" customHeight="1" x14ac:dyDescent="0.2"/>
    <row r="12" spans="1:19" x14ac:dyDescent="0.2">
      <c r="A12" s="14" t="s">
        <v>257</v>
      </c>
      <c r="D12" s="152">
        <f>ROUND(+Detail!D35/1000,0)</f>
        <v>1990</v>
      </c>
      <c r="E12" s="152"/>
      <c r="F12" s="152">
        <f>ROUND(+Detail!E35/1000,0)</f>
        <v>2572</v>
      </c>
      <c r="G12" s="222"/>
      <c r="H12" s="152">
        <f>ROUND(+Detail!R35/1000,0)</f>
        <v>4563</v>
      </c>
      <c r="I12" s="152"/>
      <c r="J12" s="152">
        <f>ROUND(+Detail!S35/1000,0)</f>
        <v>4434</v>
      </c>
      <c r="K12" s="152"/>
      <c r="L12" s="152">
        <f>ROUND(+Detail!T35/1000,0)</f>
        <v>4611</v>
      </c>
      <c r="M12" s="152"/>
      <c r="N12" s="152"/>
      <c r="O12" s="152"/>
      <c r="P12" s="152"/>
      <c r="Q12" s="153" t="s">
        <v>62</v>
      </c>
      <c r="R12" s="154">
        <f>ROUND(+Detail!D341/1000,0)</f>
        <v>3138</v>
      </c>
      <c r="S12" s="152"/>
    </row>
    <row r="13" spans="1:19" x14ac:dyDescent="0.2">
      <c r="A13" s="14" t="s">
        <v>258</v>
      </c>
      <c r="D13" s="152">
        <f>ROUND(+Detail!D76/1000,0)</f>
        <v>132</v>
      </c>
      <c r="E13" s="152"/>
      <c r="F13" s="152">
        <f>ROUND(+Detail!E76/1000,0)</f>
        <v>263</v>
      </c>
      <c r="G13" s="222"/>
      <c r="H13" s="152">
        <f>ROUND(+Detail!R76/1000,0)</f>
        <v>254</v>
      </c>
      <c r="I13" s="152"/>
      <c r="J13" s="152">
        <f>ROUND(+Detail!S76/1000,0)</f>
        <v>262</v>
      </c>
      <c r="K13" s="152"/>
      <c r="L13" s="152">
        <f>ROUND(+Detail!T76/1000,0)</f>
        <v>275</v>
      </c>
      <c r="M13" s="152"/>
      <c r="N13" s="152"/>
      <c r="O13" s="152"/>
      <c r="P13" s="152"/>
      <c r="Q13" s="155" t="s">
        <v>351</v>
      </c>
      <c r="R13" s="156">
        <f>ROUND(+Detail!E341/1000,0)</f>
        <v>4281</v>
      </c>
      <c r="S13" s="152"/>
    </row>
    <row r="14" spans="1:19" x14ac:dyDescent="0.2">
      <c r="A14" s="14" t="s">
        <v>460</v>
      </c>
      <c r="M14" s="152"/>
      <c r="N14" s="152"/>
      <c r="O14" s="152"/>
      <c r="P14" s="152"/>
      <c r="Q14" s="155" t="s">
        <v>63</v>
      </c>
      <c r="R14" s="156">
        <f>ROUND(+Detail!R341/1000,0)</f>
        <v>6777</v>
      </c>
      <c r="S14" s="152"/>
    </row>
    <row r="15" spans="1:19" x14ac:dyDescent="0.2">
      <c r="A15" s="14" t="s">
        <v>455</v>
      </c>
      <c r="D15" s="152">
        <f>ROUND(+Detail!D190/1000,0)</f>
        <v>22</v>
      </c>
      <c r="E15" s="152"/>
      <c r="F15" s="152">
        <f>ROUND(+Detail!E190/1000,0)</f>
        <v>53</v>
      </c>
      <c r="G15" s="222"/>
      <c r="H15" s="152">
        <f>ROUND(+Detail!R190/1000,0)</f>
        <v>94</v>
      </c>
      <c r="I15" s="152"/>
      <c r="J15" s="152">
        <f>ROUND(+Detail!S190/1000,0)</f>
        <v>98</v>
      </c>
      <c r="K15" s="152"/>
      <c r="L15" s="152">
        <f>ROUND(+Detail!T190/1000,0)</f>
        <v>103</v>
      </c>
      <c r="M15" s="152"/>
      <c r="N15" s="152"/>
      <c r="O15" s="152"/>
      <c r="P15" s="152"/>
      <c r="Q15" s="155" t="s">
        <v>64</v>
      </c>
      <c r="R15" s="156">
        <f>ROUND(+Detail!S341/1000,0)</f>
        <v>6751</v>
      </c>
      <c r="S15" s="152"/>
    </row>
    <row r="16" spans="1:19" x14ac:dyDescent="0.2">
      <c r="A16" s="14" t="s">
        <v>456</v>
      </c>
      <c r="D16" s="152">
        <f>ROUND((+Detail!D130+Detail!D134+Detail!D138+Detail!D142)/1000,0)</f>
        <v>118</v>
      </c>
      <c r="E16" s="152"/>
      <c r="F16" s="152">
        <f>ROUND((+Detail!E130+Detail!E134+Detail!E138+Detail!E142)/1000,0)</f>
        <v>72</v>
      </c>
      <c r="G16" s="222"/>
      <c r="H16" s="152">
        <f>ROUND((+Detail!R130+Detail!R134+Detail!R138+Detail!R142)/1000,0)</f>
        <v>199</v>
      </c>
      <c r="I16" s="152"/>
      <c r="J16" s="152">
        <f>ROUND((+Detail!S130+Detail!S134+Detail!S138+Detail!S142)/1000,0)</f>
        <v>205</v>
      </c>
      <c r="K16" s="152"/>
      <c r="L16" s="152">
        <f>ROUND((+Detail!T130+Detail!T134+Detail!T138+Detail!T142)/1000,0)</f>
        <v>215</v>
      </c>
      <c r="M16" s="152"/>
      <c r="N16" s="152"/>
      <c r="O16" s="152"/>
      <c r="P16" s="152"/>
      <c r="Q16" s="157" t="s">
        <v>349</v>
      </c>
      <c r="R16" s="158">
        <f>ROUND(+Detail!T341/1000,0)</f>
        <v>7029</v>
      </c>
      <c r="S16" s="152"/>
    </row>
    <row r="17" spans="1:19" x14ac:dyDescent="0.2">
      <c r="A17" s="14" t="s">
        <v>457</v>
      </c>
      <c r="D17" s="152">
        <f>ROUND((+Detail!D194+Detail!D198)/1000,0)</f>
        <v>0</v>
      </c>
      <c r="E17" s="152"/>
      <c r="F17" s="152">
        <f>ROUND((+Detail!E194+Detail!E198)/1000,0)</f>
        <v>0</v>
      </c>
      <c r="G17" s="222"/>
      <c r="H17" s="152">
        <f>ROUND((+Detail!R194+Detail!R198)/1000,0)</f>
        <v>2</v>
      </c>
      <c r="I17" s="152"/>
      <c r="J17" s="152">
        <f>ROUND((+Detail!S194+Detail!S198)/1000,0)</f>
        <v>2</v>
      </c>
      <c r="K17" s="152"/>
      <c r="L17" s="152">
        <f>ROUND((+Detail!T194+Detail!T198)/1000,0)</f>
        <v>2</v>
      </c>
      <c r="M17" s="152"/>
      <c r="N17" s="152"/>
      <c r="O17" s="152"/>
      <c r="P17" s="152"/>
      <c r="Q17" s="222"/>
      <c r="R17" s="222"/>
      <c r="S17" s="152"/>
    </row>
    <row r="18" spans="1:19" x14ac:dyDescent="0.2">
      <c r="A18" s="14" t="s">
        <v>458</v>
      </c>
      <c r="D18" s="152">
        <f>ROUND(+Detail!D110/1000,0)</f>
        <v>30</v>
      </c>
      <c r="E18" s="152"/>
      <c r="F18" s="152">
        <f>ROUND(+Detail!E110/1000,0)</f>
        <v>0</v>
      </c>
      <c r="G18" s="222"/>
      <c r="H18" s="152">
        <f>ROUND(+Detail!R110/1000,0)</f>
        <v>76</v>
      </c>
      <c r="I18" s="152"/>
      <c r="J18" s="152">
        <f>ROUND(+Detail!S110/1000,0)</f>
        <v>78</v>
      </c>
      <c r="K18" s="152"/>
      <c r="L18" s="152">
        <f>ROUND(+Detail!T110/1000,0)</f>
        <v>82</v>
      </c>
      <c r="M18" s="152"/>
      <c r="N18" s="152"/>
      <c r="O18" s="152"/>
      <c r="P18" s="152"/>
      <c r="S18" s="152"/>
    </row>
    <row r="19" spans="1:19" x14ac:dyDescent="0.2">
      <c r="A19" s="14" t="s">
        <v>459</v>
      </c>
      <c r="D19" s="152">
        <f>ROUND(+Detail!D82/1000,0)</f>
        <v>35</v>
      </c>
      <c r="E19" s="152"/>
      <c r="F19" s="152">
        <f>ROUND(+Detail!E82/1000,0)</f>
        <v>7</v>
      </c>
      <c r="G19" s="222"/>
      <c r="H19" s="152">
        <f>ROUND(+Detail!R82/1000,0)</f>
        <v>36</v>
      </c>
      <c r="I19" s="152"/>
      <c r="J19" s="152">
        <f>ROUND(+Detail!S82/1000,0)</f>
        <v>37</v>
      </c>
      <c r="K19" s="152"/>
      <c r="L19" s="152">
        <f>ROUND(+Detail!T82/1000,0)</f>
        <v>39</v>
      </c>
      <c r="M19" s="152"/>
      <c r="N19" s="152"/>
      <c r="O19" s="152"/>
      <c r="P19" s="152"/>
    </row>
    <row r="20" spans="1:19" x14ac:dyDescent="0.2">
      <c r="A20" s="14" t="s">
        <v>461</v>
      </c>
      <c r="D20" s="14">
        <f>ROUND(Detail!D212/1000,0)-'Exec Summ'!D15-'Exec Summ'!D16-'Exec Summ'!D17-'Exec Summ'!D18-'Exec Summ'!D19</f>
        <v>57</v>
      </c>
      <c r="F20" s="14">
        <f>ROUND(Detail!E212/1000,0)-'Exec Summ'!F15-'Exec Summ'!F16-'Exec Summ'!F17-'Exec Summ'!F18-'Exec Summ'!F19</f>
        <v>231</v>
      </c>
      <c r="G20" s="222"/>
      <c r="H20" s="14">
        <f>ROUND(Detail!R212/1000,0)-'Exec Summ'!H15-'Exec Summ'!H16-'Exec Summ'!H17-'Exec Summ'!H18-'Exec Summ'!H19</f>
        <v>4</v>
      </c>
      <c r="J20" s="14">
        <f>ROUND(Detail!S212/1000,0)-'Exec Summ'!J15-'Exec Summ'!J16-'Exec Summ'!J17-'Exec Summ'!J18-'Exec Summ'!J19</f>
        <v>5</v>
      </c>
      <c r="L20" s="14">
        <f>ROUND(Detail!T212/1000,0)-'Exec Summ'!L15-'Exec Summ'!L16-'Exec Summ'!L17-'Exec Summ'!L18-'Exec Summ'!L19</f>
        <v>5</v>
      </c>
      <c r="M20" s="152"/>
      <c r="N20" s="152"/>
      <c r="O20" s="152"/>
      <c r="P20" s="152"/>
      <c r="Q20" s="222"/>
      <c r="R20" s="222"/>
      <c r="S20" s="152"/>
    </row>
    <row r="21" spans="1:19" x14ac:dyDescent="0.2">
      <c r="A21" s="14" t="s">
        <v>462</v>
      </c>
      <c r="D21" s="159">
        <f>ROUND(Detail!D339/1000,0)</f>
        <v>0</v>
      </c>
      <c r="E21" s="159"/>
      <c r="F21" s="159">
        <f>ROUND(Detail!E339/1000,0)</f>
        <v>0</v>
      </c>
      <c r="G21" s="222"/>
      <c r="H21" s="159">
        <f>ROUND(Detail!R339/1000,0)</f>
        <v>0</v>
      </c>
      <c r="I21" s="159"/>
      <c r="J21" s="159">
        <f>ROUND(Detail!S339/1000,0)</f>
        <v>0</v>
      </c>
      <c r="K21" s="159"/>
      <c r="L21" s="159">
        <f>ROUND(Detail!T339/1000,0)</f>
        <v>0</v>
      </c>
      <c r="M21" s="152"/>
      <c r="N21" s="152"/>
      <c r="O21" s="152"/>
      <c r="P21" s="152"/>
    </row>
    <row r="22" spans="1:19" x14ac:dyDescent="0.2">
      <c r="D22" s="152"/>
      <c r="E22" s="152"/>
      <c r="F22" s="152"/>
      <c r="G22" s="222"/>
      <c r="H22" s="152"/>
      <c r="I22" s="152"/>
      <c r="J22" s="152"/>
      <c r="K22" s="152"/>
      <c r="L22" s="152"/>
      <c r="M22" s="152"/>
      <c r="N22" s="152"/>
      <c r="O22" s="152"/>
      <c r="P22" s="152"/>
      <c r="Q22" s="14" t="s">
        <v>257</v>
      </c>
      <c r="R22" s="222"/>
      <c r="S22" s="152">
        <f>+H12</f>
        <v>4563</v>
      </c>
    </row>
    <row r="23" spans="1:19" x14ac:dyDescent="0.2">
      <c r="B23" s="14" t="s">
        <v>92</v>
      </c>
      <c r="D23" s="152">
        <f>SUM(D12:D21)</f>
        <v>2384</v>
      </c>
      <c r="E23" s="152"/>
      <c r="F23" s="152">
        <f>SUM(F12:F21)</f>
        <v>3198</v>
      </c>
      <c r="G23" s="222"/>
      <c r="H23" s="152">
        <f>SUM(H12:H21)</f>
        <v>5228</v>
      </c>
      <c r="I23" s="152"/>
      <c r="J23" s="152">
        <f>SUM(J12:J21)</f>
        <v>5121</v>
      </c>
      <c r="K23" s="152"/>
      <c r="L23" s="152">
        <f>SUM(L12:L21)</f>
        <v>5332</v>
      </c>
      <c r="M23" s="152"/>
      <c r="N23" s="152"/>
      <c r="O23" s="152"/>
      <c r="P23" s="152"/>
      <c r="Q23" s="14" t="s">
        <v>258</v>
      </c>
      <c r="R23" s="152"/>
      <c r="S23" s="152">
        <f>+H13</f>
        <v>254</v>
      </c>
    </row>
    <row r="24" spans="1:19" x14ac:dyDescent="0.2">
      <c r="D24" s="152"/>
      <c r="E24" s="152"/>
      <c r="F24" s="152"/>
      <c r="G24" s="222"/>
      <c r="H24" s="152"/>
      <c r="I24" s="152"/>
      <c r="J24" s="152"/>
      <c r="K24" s="152"/>
      <c r="L24" s="152"/>
      <c r="M24" s="152"/>
      <c r="N24" s="152"/>
      <c r="O24" s="152"/>
      <c r="P24" s="152"/>
      <c r="Q24" s="14" t="s">
        <v>259</v>
      </c>
      <c r="R24" s="152"/>
      <c r="S24" s="152">
        <f>+H15</f>
        <v>94</v>
      </c>
    </row>
    <row r="25" spans="1:19" x14ac:dyDescent="0.2">
      <c r="A25" s="14" t="s">
        <v>265</v>
      </c>
      <c r="D25" s="152">
        <f>ROUND(+Detail!D39/1000,0)</f>
        <v>151</v>
      </c>
      <c r="E25" s="152"/>
      <c r="F25" s="152">
        <f>ROUND(+Detail!E39/1000,0)</f>
        <v>155</v>
      </c>
      <c r="G25" s="222"/>
      <c r="H25" s="152">
        <f>ROUND(+Detail!R39/1000,0)</f>
        <v>308</v>
      </c>
      <c r="I25" s="152"/>
      <c r="J25" s="152">
        <f>ROUND(+Detail!S39/1000,0)</f>
        <v>322</v>
      </c>
      <c r="K25" s="152"/>
      <c r="L25" s="152">
        <f>ROUND(+Detail!T39/1000,0)</f>
        <v>333</v>
      </c>
      <c r="M25" s="152"/>
      <c r="N25" s="152"/>
      <c r="O25" s="152"/>
      <c r="P25" s="152"/>
      <c r="Q25" s="14" t="s">
        <v>260</v>
      </c>
      <c r="R25" s="152"/>
      <c r="S25" s="152">
        <f>+H16</f>
        <v>199</v>
      </c>
    </row>
    <row r="26" spans="1:19" x14ac:dyDescent="0.2">
      <c r="A26" s="14" t="s">
        <v>266</v>
      </c>
      <c r="D26" s="152">
        <f>ROUND(+Detail!D43/1000,0)</f>
        <v>285</v>
      </c>
      <c r="E26" s="152"/>
      <c r="F26" s="152">
        <f>ROUND(+Detail!E43/1000,0)</f>
        <v>277</v>
      </c>
      <c r="G26" s="222"/>
      <c r="H26" s="152">
        <f>ROUND(+Detail!R43/1000,0)</f>
        <v>552</v>
      </c>
      <c r="I26" s="152"/>
      <c r="J26" s="152">
        <f>ROUND(+Detail!S43/1000,0)</f>
        <v>590</v>
      </c>
      <c r="K26" s="152"/>
      <c r="L26" s="152">
        <f>ROUND(+Detail!T43/1000,0)</f>
        <v>613</v>
      </c>
      <c r="M26" s="152"/>
      <c r="N26" s="152"/>
      <c r="O26" s="152"/>
      <c r="P26" s="152"/>
      <c r="Q26" s="14" t="s">
        <v>261</v>
      </c>
      <c r="R26" s="152"/>
      <c r="S26" s="152">
        <f>+H17</f>
        <v>2</v>
      </c>
    </row>
    <row r="27" spans="1:19" x14ac:dyDescent="0.2">
      <c r="A27" s="14" t="s">
        <v>267</v>
      </c>
      <c r="D27" s="152">
        <f>ROUND(+Detail!D216/1000,0)</f>
        <v>55</v>
      </c>
      <c r="E27" s="152"/>
      <c r="F27" s="152">
        <f>ROUND(+Detail!E216/1000,0)</f>
        <v>75</v>
      </c>
      <c r="G27" s="222"/>
      <c r="H27" s="152">
        <f>ROUND(+Detail!R216/1000,0)</f>
        <v>296</v>
      </c>
      <c r="I27" s="152"/>
      <c r="J27" s="152">
        <f>ROUND(+Detail!S216/1000,0)</f>
        <v>311</v>
      </c>
      <c r="K27" s="152"/>
      <c r="L27" s="152">
        <f>ROUND(+Detail!T216/1000,0)</f>
        <v>327</v>
      </c>
      <c r="M27" s="152"/>
      <c r="N27" s="152"/>
      <c r="O27" s="152"/>
      <c r="P27" s="152"/>
      <c r="Q27" s="14" t="s">
        <v>262</v>
      </c>
      <c r="R27" s="152"/>
      <c r="S27" s="152">
        <f>+H20</f>
        <v>4</v>
      </c>
    </row>
    <row r="28" spans="1:19" x14ac:dyDescent="0.2">
      <c r="A28" s="14" t="s">
        <v>268</v>
      </c>
      <c r="D28" s="152">
        <f>ROUND(+Detail!D217/1000,0)</f>
        <v>75</v>
      </c>
      <c r="E28" s="152"/>
      <c r="F28" s="152">
        <f>ROUND(+Detail!E217/1000,0)</f>
        <v>204</v>
      </c>
      <c r="G28" s="222"/>
      <c r="H28" s="152">
        <f>ROUND(+Detail!R217/1000,0)</f>
        <v>204</v>
      </c>
      <c r="I28" s="152"/>
      <c r="J28" s="152">
        <f>ROUND(+Detail!S217/1000,0)</f>
        <v>214</v>
      </c>
      <c r="K28" s="152"/>
      <c r="L28" s="152">
        <f>ROUND(+Detail!T217/1000,0)</f>
        <v>224</v>
      </c>
      <c r="M28" s="152"/>
      <c r="N28" s="152"/>
      <c r="O28" s="152"/>
      <c r="P28" s="152"/>
      <c r="Q28" s="14" t="s">
        <v>263</v>
      </c>
      <c r="R28" s="152"/>
      <c r="S28" s="152">
        <f>+H18</f>
        <v>76</v>
      </c>
    </row>
    <row r="29" spans="1:19" x14ac:dyDescent="0.2">
      <c r="A29" s="14" t="s">
        <v>269</v>
      </c>
      <c r="D29" s="335">
        <f>ROUND(+Detail!D218/1000,0)</f>
        <v>188</v>
      </c>
      <c r="E29" s="335"/>
      <c r="F29" s="335">
        <f>ROUND(+Detail!E218/1000,0)</f>
        <v>372</v>
      </c>
      <c r="G29" s="222"/>
      <c r="H29" s="335">
        <f>ROUND(+Detail!R218/1000,0)</f>
        <v>188</v>
      </c>
      <c r="I29" s="335"/>
      <c r="J29" s="335">
        <f>ROUND(+Detail!S218/1000,0)</f>
        <v>194</v>
      </c>
      <c r="K29" s="335"/>
      <c r="L29" s="335">
        <f>ROUND(+Detail!T218/1000,0)</f>
        <v>199</v>
      </c>
      <c r="M29" s="152"/>
      <c r="N29" s="152"/>
      <c r="O29" s="152"/>
      <c r="P29" s="152"/>
      <c r="Q29" s="14" t="s">
        <v>264</v>
      </c>
      <c r="R29" s="152"/>
      <c r="S29" s="152">
        <f>+H19</f>
        <v>36</v>
      </c>
    </row>
    <row r="30" spans="1:19" x14ac:dyDescent="0.2">
      <c r="D30" s="152"/>
      <c r="E30" s="152"/>
      <c r="F30" s="152"/>
      <c r="G30" s="222"/>
      <c r="H30" s="152"/>
      <c r="I30" s="152"/>
      <c r="J30" s="152"/>
      <c r="K30" s="152"/>
      <c r="L30" s="152"/>
      <c r="M30" s="152"/>
      <c r="N30" s="152"/>
      <c r="O30" s="152"/>
      <c r="P30" s="152"/>
      <c r="Q30" s="14" t="s">
        <v>91</v>
      </c>
      <c r="R30" s="152"/>
      <c r="S30" s="152">
        <f>+H21</f>
        <v>0</v>
      </c>
    </row>
    <row r="31" spans="1:19" x14ac:dyDescent="0.2">
      <c r="B31" s="14" t="s">
        <v>270</v>
      </c>
      <c r="D31" s="159">
        <f>SUM(D23:D29)</f>
        <v>3138</v>
      </c>
      <c r="E31" s="159"/>
      <c r="F31" s="159">
        <f>SUM(F23:F29)</f>
        <v>4281</v>
      </c>
      <c r="G31" s="222"/>
      <c r="H31" s="159">
        <f>SUM(H23:H29)</f>
        <v>6776</v>
      </c>
      <c r="I31" s="159"/>
      <c r="J31" s="159">
        <f>SUM(J23:J29)</f>
        <v>6752</v>
      </c>
      <c r="K31" s="159"/>
      <c r="L31" s="159">
        <f>SUM(L23:L29)</f>
        <v>7028</v>
      </c>
      <c r="M31" s="152"/>
      <c r="N31" s="152"/>
      <c r="O31" s="152"/>
      <c r="P31" s="152"/>
      <c r="Q31" s="14" t="s">
        <v>265</v>
      </c>
      <c r="R31" s="152"/>
      <c r="S31" s="152">
        <f>+H25</f>
        <v>308</v>
      </c>
    </row>
    <row r="32" spans="1:19" x14ac:dyDescent="0.2">
      <c r="D32" s="152" t="s">
        <v>189</v>
      </c>
      <c r="E32" s="152"/>
      <c r="F32" s="152" t="s">
        <v>189</v>
      </c>
      <c r="G32" s="222"/>
      <c r="H32" s="152" t="s">
        <v>189</v>
      </c>
      <c r="I32" s="152"/>
      <c r="J32" s="152" t="s">
        <v>189</v>
      </c>
      <c r="K32" s="152"/>
      <c r="L32" s="152" t="s">
        <v>189</v>
      </c>
      <c r="M32" s="152"/>
      <c r="N32" s="152"/>
      <c r="O32" s="152"/>
      <c r="P32" s="152"/>
      <c r="Q32" s="14" t="s">
        <v>266</v>
      </c>
      <c r="R32" s="152"/>
      <c r="S32" s="152">
        <f>+H26</f>
        <v>552</v>
      </c>
    </row>
    <row r="33" spans="1:19" x14ac:dyDescent="0.2">
      <c r="A33" s="14" t="s">
        <v>271</v>
      </c>
      <c r="D33" s="152">
        <f>ROUND(+Allocations!C51/1000,0)</f>
        <v>-3138</v>
      </c>
      <c r="E33" s="152"/>
      <c r="F33" s="152">
        <f>ROUND(+Allocations!D51/1000,0)</f>
        <v>-3138</v>
      </c>
      <c r="G33" s="222"/>
      <c r="H33" s="152">
        <f>ROUND(+Allocations!Q51/1000,0)</f>
        <v>-6031</v>
      </c>
      <c r="I33" s="152"/>
      <c r="J33" s="152">
        <f>ROUND(+Allocations!R51/1000,0)</f>
        <v>-6008</v>
      </c>
      <c r="K33" s="152"/>
      <c r="L33" s="152">
        <f>ROUND(+Allocations!S51/1000,0)</f>
        <v>-6255</v>
      </c>
      <c r="Q33" s="14" t="s">
        <v>267</v>
      </c>
      <c r="R33" s="152"/>
      <c r="S33" s="152">
        <f>+H27</f>
        <v>296</v>
      </c>
    </row>
    <row r="34" spans="1:19" x14ac:dyDescent="0.2">
      <c r="Q34" s="14" t="s">
        <v>268</v>
      </c>
      <c r="R34" s="152"/>
      <c r="S34" s="152">
        <f>+H28</f>
        <v>204</v>
      </c>
    </row>
    <row r="35" spans="1:19" ht="15.75" thickBot="1" x14ac:dyDescent="0.25">
      <c r="B35" s="14" t="s">
        <v>272</v>
      </c>
      <c r="D35" s="160">
        <f>ROUND(D31+D33,1)</f>
        <v>0</v>
      </c>
      <c r="E35" s="160"/>
      <c r="F35" s="160">
        <f>ROUND(F31+F33,1)</f>
        <v>1143</v>
      </c>
      <c r="G35" s="222"/>
      <c r="H35" s="160">
        <f>ROUND(H31+H33,1)</f>
        <v>745</v>
      </c>
      <c r="I35" s="160"/>
      <c r="J35" s="160">
        <f>ROUND(J31+J33,1)</f>
        <v>744</v>
      </c>
      <c r="K35" s="160"/>
      <c r="L35" s="160">
        <f>ROUND(L31+L33,1)</f>
        <v>773</v>
      </c>
      <c r="Q35" s="14" t="s">
        <v>269</v>
      </c>
      <c r="S35" s="152">
        <f>+H29</f>
        <v>188</v>
      </c>
    </row>
    <row r="36" spans="1:19" ht="15.75" thickTop="1" x14ac:dyDescent="0.2">
      <c r="Q36"/>
    </row>
    <row r="38" spans="1:19" x14ac:dyDescent="0.2">
      <c r="A38" s="14" t="s">
        <v>273</v>
      </c>
      <c r="D38" s="14">
        <f>ROUND(+Capital!F12/1000,0)</f>
        <v>80</v>
      </c>
      <c r="F38" s="14">
        <f>ROUND(+Capital!H12/1000,0)</f>
        <v>0</v>
      </c>
      <c r="H38" s="14">
        <f>ROUND(+Capital!J12/1000,0)</f>
        <v>80</v>
      </c>
      <c r="J38" s="14">
        <f>ROUND(+Capital!L12/1000,0)</f>
        <v>82</v>
      </c>
      <c r="L38" s="14">
        <f>ROUND(+Capital!N12/1000,0)</f>
        <v>85</v>
      </c>
    </row>
    <row r="40" spans="1:19" x14ac:dyDescent="0.2">
      <c r="A40" s="14" t="s">
        <v>274</v>
      </c>
      <c r="D40" s="14">
        <f>+Detail!D13</f>
        <v>18</v>
      </c>
      <c r="F40" s="14">
        <f>+Detail!E13</f>
        <v>18</v>
      </c>
      <c r="H40" s="14">
        <f>+Detail!R13</f>
        <v>30</v>
      </c>
      <c r="J40" s="14">
        <f>+Detail!S13</f>
        <v>33</v>
      </c>
      <c r="L40" s="14">
        <f>+Detail!T13</f>
        <v>33</v>
      </c>
    </row>
    <row r="42" spans="1:19" s="186" customFormat="1" ht="12.75" x14ac:dyDescent="0.2">
      <c r="A42" s="162" t="str">
        <f ca="1">CELL("filename",A41)</f>
        <v>C:\Users\Felienne\Enron\EnronSpreadsheets\[vkaminski__40662__RC0826_WJK_0921.xlsx]Exec Summ</v>
      </c>
      <c r="G42" s="339"/>
    </row>
    <row r="43" spans="1:19" x14ac:dyDescent="0.2">
      <c r="A43" s="161" t="s">
        <v>352</v>
      </c>
    </row>
    <row r="44" spans="1:19" x14ac:dyDescent="0.2">
      <c r="A44" s="162"/>
    </row>
    <row r="45" spans="1:19" x14ac:dyDescent="0.2">
      <c r="C45" s="162"/>
      <c r="D45" s="152"/>
      <c r="E45" s="152"/>
      <c r="F45" s="152"/>
      <c r="G45" s="22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</row>
    <row r="46" spans="1:19" ht="15.75" x14ac:dyDescent="0.25">
      <c r="A46" s="15" t="s">
        <v>406</v>
      </c>
      <c r="B46" s="163"/>
      <c r="C46" s="163"/>
      <c r="D46" s="164"/>
      <c r="E46" s="164"/>
      <c r="F46" s="164"/>
      <c r="G46" s="340"/>
      <c r="H46" s="164"/>
      <c r="I46" s="164"/>
      <c r="J46" s="164"/>
      <c r="K46" s="164"/>
      <c r="L46" s="164"/>
      <c r="M46" s="152"/>
      <c r="N46" s="152"/>
      <c r="O46" s="152"/>
      <c r="P46" s="152"/>
      <c r="Q46" s="152"/>
      <c r="R46" s="152"/>
      <c r="S46" s="152"/>
    </row>
  </sheetData>
  <printOptions horizontalCentered="1"/>
  <pageMargins left="0.25" right="0.25" top="0.5" bottom="0.5" header="0.25" footer="0.25"/>
  <pageSetup scale="80" orientation="landscape" horizontalDpi="4294967292" verticalDpi="300" r:id="rId1"/>
  <headerFooter alignWithMargins="0">
    <oddFooter>&amp;R&amp;8&amp;D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474"/>
  <sheetViews>
    <sheetView zoomScale="50" workbookViewId="0">
      <pane xSplit="5" ySplit="10" topLeftCell="F197" activePane="bottomRight" state="frozen"/>
      <selection activeCell="C5" sqref="C5"/>
      <selection pane="topRight" activeCell="C5" sqref="C5"/>
      <selection pane="bottomLeft" activeCell="C5" sqref="C5"/>
      <selection pane="bottomRight" activeCell="C197" sqref="C197"/>
    </sheetView>
  </sheetViews>
  <sheetFormatPr defaultColWidth="10.33203125" defaultRowHeight="15" x14ac:dyDescent="0.2"/>
  <cols>
    <col min="1" max="1" width="12.33203125" hidden="1" customWidth="1"/>
    <col min="2" max="2" width="11.109375" style="242" customWidth="1"/>
    <col min="3" max="3" width="36" customWidth="1"/>
    <col min="4" max="4" width="13" style="443" bestFit="1" customWidth="1"/>
    <col min="5" max="5" width="13.21875" style="443" bestFit="1" customWidth="1"/>
    <col min="6" max="9" width="11.21875" style="210" bestFit="1" customWidth="1"/>
    <col min="10" max="10" width="13.88671875" style="210" bestFit="1" customWidth="1"/>
    <col min="11" max="17" width="11" style="210" bestFit="1" customWidth="1"/>
    <col min="18" max="18" width="13.44140625" style="210" bestFit="1" customWidth="1"/>
    <col min="19" max="19" width="13" style="210" bestFit="1" customWidth="1"/>
    <col min="20" max="20" width="13.44140625" style="210" bestFit="1" customWidth="1"/>
  </cols>
  <sheetData>
    <row r="1" spans="1:20" s="5" customFormat="1" ht="18" x14ac:dyDescent="0.25">
      <c r="A1" s="79" t="s">
        <v>361</v>
      </c>
      <c r="B1" s="306" t="s">
        <v>420</v>
      </c>
      <c r="C1" s="73"/>
      <c r="D1" s="418"/>
      <c r="E1" s="419"/>
      <c r="R1" s="207"/>
      <c r="S1" s="299"/>
      <c r="T1" s="207"/>
    </row>
    <row r="2" spans="1:20" s="5" customFormat="1" ht="18" x14ac:dyDescent="0.25">
      <c r="A2" s="80" t="s">
        <v>61</v>
      </c>
      <c r="B2" s="307" t="s">
        <v>61</v>
      </c>
      <c r="C2" s="75"/>
      <c r="D2" s="420"/>
      <c r="E2" s="421"/>
      <c r="R2" s="207"/>
      <c r="S2" s="207"/>
      <c r="T2" s="207"/>
    </row>
    <row r="3" spans="1:20" s="5" customFormat="1" ht="18" x14ac:dyDescent="0.25">
      <c r="A3" s="80"/>
      <c r="B3" s="307"/>
      <c r="C3" s="322" t="s">
        <v>362</v>
      </c>
      <c r="D3" s="422"/>
      <c r="E3" s="421"/>
      <c r="F3" s="319"/>
      <c r="R3" s="207"/>
      <c r="S3" s="207"/>
      <c r="T3" s="207"/>
    </row>
    <row r="4" spans="1:20" s="5" customFormat="1" ht="18" x14ac:dyDescent="0.25">
      <c r="A4" s="80"/>
      <c r="B4" s="307"/>
      <c r="C4" s="75" t="s">
        <v>419</v>
      </c>
      <c r="D4" s="422"/>
      <c r="E4" s="421"/>
      <c r="F4" s="319"/>
      <c r="R4" s="207"/>
      <c r="S4" s="207"/>
      <c r="T4" s="207"/>
    </row>
    <row r="5" spans="1:20" s="5" customFormat="1" ht="18" x14ac:dyDescent="0.25">
      <c r="A5" s="80"/>
      <c r="B5" s="307"/>
      <c r="C5" s="334" t="s">
        <v>421</v>
      </c>
      <c r="D5" s="420"/>
      <c r="E5" s="421"/>
      <c r="R5" s="207"/>
      <c r="S5" s="207"/>
      <c r="T5" s="207"/>
    </row>
    <row r="6" spans="1:20" s="5" customFormat="1" ht="18" x14ac:dyDescent="0.25">
      <c r="A6" s="81"/>
      <c r="B6" s="308"/>
      <c r="C6" s="74"/>
      <c r="D6" s="423"/>
      <c r="E6" s="424"/>
      <c r="R6" s="207"/>
      <c r="S6" s="207"/>
      <c r="T6" s="207"/>
    </row>
    <row r="7" spans="1:20" s="5" customFormat="1" ht="18" x14ac:dyDescent="0.25">
      <c r="B7" s="165" t="str">
        <f>+Intro!C3</f>
        <v>Research Group - Kaminski</v>
      </c>
      <c r="C7" s="165"/>
      <c r="D7" s="425"/>
      <c r="E7" s="426"/>
      <c r="R7" s="206"/>
      <c r="S7" s="206"/>
      <c r="T7" s="206"/>
    </row>
    <row r="8" spans="1:20" ht="18" x14ac:dyDescent="0.25">
      <c r="B8" s="410">
        <f>+Intro!C4</f>
        <v>11</v>
      </c>
      <c r="C8" s="190">
        <f>+Intro!F4</f>
        <v>100038</v>
      </c>
      <c r="D8" s="387"/>
      <c r="E8" s="387"/>
      <c r="F8"/>
      <c r="G8"/>
      <c r="H8"/>
      <c r="I8"/>
      <c r="J8"/>
      <c r="K8"/>
      <c r="L8"/>
      <c r="M8"/>
      <c r="N8"/>
      <c r="O8"/>
      <c r="P8"/>
      <c r="Q8"/>
      <c r="R8" s="345">
        <v>2000</v>
      </c>
      <c r="S8" s="345">
        <v>2001</v>
      </c>
      <c r="T8" s="345">
        <v>2002</v>
      </c>
    </row>
    <row r="9" spans="1:20" ht="15.75" x14ac:dyDescent="0.25">
      <c r="D9" s="427">
        <v>1999</v>
      </c>
      <c r="E9" s="427">
        <v>1999</v>
      </c>
      <c r="F9"/>
      <c r="G9"/>
      <c r="H9"/>
      <c r="I9"/>
      <c r="J9"/>
      <c r="K9"/>
      <c r="L9"/>
      <c r="M9"/>
      <c r="N9"/>
      <c r="O9"/>
      <c r="P9"/>
      <c r="Q9"/>
      <c r="R9" s="208" t="s">
        <v>133</v>
      </c>
      <c r="S9" s="208" t="s">
        <v>133</v>
      </c>
      <c r="T9" s="208" t="s">
        <v>133</v>
      </c>
    </row>
    <row r="10" spans="1:20" s="6" customFormat="1" ht="15.75" x14ac:dyDescent="0.25">
      <c r="B10" s="309"/>
      <c r="D10" s="428" t="s">
        <v>65</v>
      </c>
      <c r="E10" s="428" t="s">
        <v>66</v>
      </c>
      <c r="F10" s="7" t="s">
        <v>67</v>
      </c>
      <c r="G10" s="7" t="s">
        <v>68</v>
      </c>
      <c r="H10" s="7" t="s">
        <v>69</v>
      </c>
      <c r="I10" s="7" t="s">
        <v>70</v>
      </c>
      <c r="J10" s="7" t="s">
        <v>71</v>
      </c>
      <c r="K10" s="7" t="s">
        <v>72</v>
      </c>
      <c r="L10" s="7" t="s">
        <v>73</v>
      </c>
      <c r="M10" s="7" t="s">
        <v>74</v>
      </c>
      <c r="N10" s="7" t="s">
        <v>75</v>
      </c>
      <c r="O10" s="7" t="s">
        <v>76</v>
      </c>
      <c r="P10" s="7" t="s">
        <v>77</v>
      </c>
      <c r="Q10" s="7" t="s">
        <v>78</v>
      </c>
      <c r="R10" s="197" t="s">
        <v>79</v>
      </c>
      <c r="S10" s="197" t="s">
        <v>79</v>
      </c>
      <c r="T10" s="197" t="s">
        <v>79</v>
      </c>
    </row>
    <row r="11" spans="1:20" s="6" customFormat="1" ht="15.75" x14ac:dyDescent="0.25">
      <c r="B11" s="309"/>
      <c r="D11" s="429"/>
      <c r="E11" s="42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8"/>
      <c r="S11" s="198"/>
      <c r="T11" s="198"/>
    </row>
    <row r="12" spans="1:20" s="6" customFormat="1" ht="15.75" x14ac:dyDescent="0.25">
      <c r="A12" s="20"/>
      <c r="B12" s="310" t="s">
        <v>57</v>
      </c>
      <c r="C12" s="301"/>
      <c r="D12" s="428"/>
      <c r="E12" s="42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97"/>
      <c r="S12" s="245"/>
      <c r="T12" s="245"/>
    </row>
    <row r="13" spans="1:20" s="384" customFormat="1" x14ac:dyDescent="0.2">
      <c r="A13" s="384" t="s">
        <v>80</v>
      </c>
      <c r="B13" s="399"/>
      <c r="C13" s="384" t="s">
        <v>81</v>
      </c>
      <c r="D13" s="400">
        <v>18</v>
      </c>
      <c r="E13" s="400">
        <v>18</v>
      </c>
      <c r="F13" s="395">
        <v>30</v>
      </c>
      <c r="G13" s="395">
        <v>30</v>
      </c>
      <c r="H13" s="395">
        <v>30</v>
      </c>
      <c r="I13" s="395">
        <v>30</v>
      </c>
      <c r="J13" s="395">
        <v>30</v>
      </c>
      <c r="K13" s="395">
        <v>30</v>
      </c>
      <c r="L13" s="395">
        <v>30</v>
      </c>
      <c r="M13" s="395">
        <v>30</v>
      </c>
      <c r="N13" s="395">
        <v>30</v>
      </c>
      <c r="O13" s="395">
        <v>30</v>
      </c>
      <c r="P13" s="395">
        <v>30</v>
      </c>
      <c r="Q13" s="395">
        <v>30</v>
      </c>
      <c r="R13" s="387">
        <f t="shared" ref="R13:T17" si="0">+Q13</f>
        <v>30</v>
      </c>
      <c r="S13" s="385">
        <v>33</v>
      </c>
      <c r="T13" s="385">
        <v>33</v>
      </c>
    </row>
    <row r="14" spans="1:20" s="384" customFormat="1" x14ac:dyDescent="0.2">
      <c r="B14" s="399"/>
      <c r="C14" s="384" t="s">
        <v>82</v>
      </c>
      <c r="D14" s="385">
        <v>2</v>
      </c>
      <c r="E14" s="385">
        <v>2</v>
      </c>
      <c r="F14" s="395">
        <v>2</v>
      </c>
      <c r="G14" s="395">
        <v>2</v>
      </c>
      <c r="H14" s="395">
        <v>2</v>
      </c>
      <c r="I14" s="395">
        <v>2</v>
      </c>
      <c r="J14" s="395">
        <v>2</v>
      </c>
      <c r="K14" s="395">
        <v>2</v>
      </c>
      <c r="L14" s="395">
        <v>2</v>
      </c>
      <c r="M14" s="395">
        <v>2</v>
      </c>
      <c r="N14" s="395">
        <v>2</v>
      </c>
      <c r="O14" s="395">
        <v>2</v>
      </c>
      <c r="P14" s="395">
        <v>2</v>
      </c>
      <c r="Q14" s="395">
        <v>2</v>
      </c>
      <c r="R14" s="387">
        <f t="shared" si="0"/>
        <v>2</v>
      </c>
      <c r="S14" s="385">
        <f t="shared" si="0"/>
        <v>2</v>
      </c>
      <c r="T14" s="385">
        <f t="shared" si="0"/>
        <v>2</v>
      </c>
    </row>
    <row r="15" spans="1:20" s="384" customFormat="1" x14ac:dyDescent="0.2">
      <c r="B15" s="399"/>
      <c r="C15" s="384" t="s">
        <v>83</v>
      </c>
      <c r="D15" s="385">
        <v>0</v>
      </c>
      <c r="E15" s="385">
        <v>0</v>
      </c>
      <c r="F15" s="395">
        <v>0</v>
      </c>
      <c r="G15" s="395">
        <v>0</v>
      </c>
      <c r="H15" s="395">
        <v>0</v>
      </c>
      <c r="I15" s="395">
        <v>0</v>
      </c>
      <c r="J15" s="395">
        <v>0</v>
      </c>
      <c r="K15" s="395">
        <v>0</v>
      </c>
      <c r="L15" s="395">
        <v>0</v>
      </c>
      <c r="M15" s="395">
        <v>0</v>
      </c>
      <c r="N15" s="395">
        <v>0</v>
      </c>
      <c r="O15" s="395">
        <v>0</v>
      </c>
      <c r="P15" s="395">
        <v>0</v>
      </c>
      <c r="Q15" s="401">
        <v>0</v>
      </c>
      <c r="R15" s="387">
        <f t="shared" si="0"/>
        <v>0</v>
      </c>
      <c r="S15" s="385">
        <f t="shared" si="0"/>
        <v>0</v>
      </c>
      <c r="T15" s="385">
        <f t="shared" si="0"/>
        <v>0</v>
      </c>
    </row>
    <row r="16" spans="1:20" s="384" customFormat="1" x14ac:dyDescent="0.2">
      <c r="B16" s="399"/>
      <c r="C16" s="384" t="s">
        <v>84</v>
      </c>
      <c r="D16" s="385">
        <v>0</v>
      </c>
      <c r="E16" s="385">
        <v>0</v>
      </c>
      <c r="F16" s="395">
        <v>0</v>
      </c>
      <c r="G16" s="395">
        <v>0</v>
      </c>
      <c r="H16" s="395">
        <v>0</v>
      </c>
      <c r="I16" s="395">
        <v>0</v>
      </c>
      <c r="J16" s="395">
        <v>0</v>
      </c>
      <c r="K16" s="395">
        <v>0</v>
      </c>
      <c r="L16" s="395">
        <v>0</v>
      </c>
      <c r="M16" s="395">
        <v>0</v>
      </c>
      <c r="N16" s="395">
        <v>0</v>
      </c>
      <c r="O16" s="395">
        <v>0</v>
      </c>
      <c r="P16" s="395">
        <v>0</v>
      </c>
      <c r="Q16" s="401">
        <v>0</v>
      </c>
      <c r="R16" s="387">
        <f t="shared" si="0"/>
        <v>0</v>
      </c>
      <c r="S16" s="385">
        <f t="shared" si="0"/>
        <v>0</v>
      </c>
      <c r="T16" s="385">
        <f t="shared" si="0"/>
        <v>0</v>
      </c>
    </row>
    <row r="17" spans="1:20" s="384" customFormat="1" x14ac:dyDescent="0.2">
      <c r="B17" s="399"/>
      <c r="C17" s="384" t="s">
        <v>85</v>
      </c>
      <c r="D17" s="385">
        <v>0</v>
      </c>
      <c r="E17" s="385">
        <v>0</v>
      </c>
      <c r="F17" s="395">
        <v>0</v>
      </c>
      <c r="G17" s="395">
        <v>0</v>
      </c>
      <c r="H17" s="395">
        <v>0</v>
      </c>
      <c r="I17" s="395">
        <v>0</v>
      </c>
      <c r="J17" s="395">
        <v>0</v>
      </c>
      <c r="K17" s="395">
        <v>0</v>
      </c>
      <c r="L17" s="395">
        <v>0</v>
      </c>
      <c r="M17" s="395">
        <v>0</v>
      </c>
      <c r="N17" s="395">
        <v>0</v>
      </c>
      <c r="O17" s="395">
        <v>0</v>
      </c>
      <c r="P17" s="395">
        <v>0</v>
      </c>
      <c r="Q17" s="401">
        <v>0</v>
      </c>
      <c r="R17" s="387">
        <f t="shared" si="0"/>
        <v>0</v>
      </c>
      <c r="S17" s="385">
        <f t="shared" si="0"/>
        <v>0</v>
      </c>
      <c r="T17" s="385">
        <f t="shared" si="0"/>
        <v>0</v>
      </c>
    </row>
    <row r="18" spans="1:20" s="15" customFormat="1" ht="15.75" x14ac:dyDescent="0.25">
      <c r="A18" s="86"/>
      <c r="B18" s="311"/>
      <c r="C18" s="15" t="s">
        <v>86</v>
      </c>
      <c r="D18" s="430">
        <f t="shared" ref="D18:M18" si="1">SUM(D13:D17)</f>
        <v>20</v>
      </c>
      <c r="E18" s="430">
        <f t="shared" si="1"/>
        <v>20</v>
      </c>
      <c r="F18" s="239">
        <f t="shared" si="1"/>
        <v>32</v>
      </c>
      <c r="G18" s="239">
        <f t="shared" si="1"/>
        <v>32</v>
      </c>
      <c r="H18" s="239">
        <f t="shared" si="1"/>
        <v>32</v>
      </c>
      <c r="I18" s="239">
        <f t="shared" si="1"/>
        <v>32</v>
      </c>
      <c r="J18" s="239">
        <f t="shared" si="1"/>
        <v>32</v>
      </c>
      <c r="K18" s="239">
        <f t="shared" si="1"/>
        <v>32</v>
      </c>
      <c r="L18" s="239">
        <f t="shared" si="1"/>
        <v>32</v>
      </c>
      <c r="M18" s="239">
        <f t="shared" si="1"/>
        <v>32</v>
      </c>
      <c r="N18" s="239">
        <f t="shared" ref="N18:T18" si="2">SUM(N13:N17)</f>
        <v>32</v>
      </c>
      <c r="O18" s="239">
        <f t="shared" si="2"/>
        <v>32</v>
      </c>
      <c r="P18" s="239">
        <f t="shared" si="2"/>
        <v>32</v>
      </c>
      <c r="Q18" s="239">
        <f t="shared" si="2"/>
        <v>32</v>
      </c>
      <c r="R18" s="200">
        <f t="shared" si="2"/>
        <v>32</v>
      </c>
      <c r="S18" s="200">
        <f t="shared" si="2"/>
        <v>35</v>
      </c>
      <c r="T18" s="200">
        <f t="shared" si="2"/>
        <v>35</v>
      </c>
    </row>
    <row r="19" spans="1:20" x14ac:dyDescent="0.2">
      <c r="D19" s="387"/>
      <c r="E19" s="387"/>
      <c r="F19"/>
      <c r="G19"/>
      <c r="H19"/>
      <c r="I19"/>
      <c r="J19"/>
      <c r="K19"/>
      <c r="L19"/>
      <c r="M19"/>
      <c r="N19"/>
      <c r="O19"/>
      <c r="P19"/>
      <c r="Q19"/>
      <c r="R19" s="196"/>
      <c r="S19" s="196"/>
      <c r="T19" s="196"/>
    </row>
    <row r="20" spans="1:20" ht="15.75" x14ac:dyDescent="0.25">
      <c r="A20" s="20"/>
      <c r="B20" s="310" t="s">
        <v>87</v>
      </c>
      <c r="C20" s="301"/>
      <c r="D20" s="387"/>
      <c r="E20" s="387"/>
      <c r="F20"/>
      <c r="G20"/>
      <c r="H20"/>
      <c r="I20"/>
      <c r="J20"/>
      <c r="K20"/>
      <c r="L20"/>
      <c r="M20"/>
      <c r="N20"/>
      <c r="O20"/>
      <c r="P20"/>
      <c r="Q20"/>
      <c r="R20" s="196"/>
      <c r="S20" s="196"/>
      <c r="T20" s="196"/>
    </row>
    <row r="21" spans="1:20" x14ac:dyDescent="0.2">
      <c r="A21" s="58" t="s">
        <v>88</v>
      </c>
      <c r="B21" s="240">
        <v>52000500</v>
      </c>
      <c r="C21" t="s">
        <v>87</v>
      </c>
      <c r="D21" s="385"/>
      <c r="E21" s="385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96"/>
      <c r="S21" s="196"/>
      <c r="T21" s="196"/>
    </row>
    <row r="22" spans="1:20" s="246" customFormat="1" ht="15.75" x14ac:dyDescent="0.25">
      <c r="A22" s="320"/>
      <c r="B22" s="321"/>
      <c r="C22" s="246" t="s">
        <v>89</v>
      </c>
      <c r="D22" s="431">
        <f>+D387</f>
        <v>1990424</v>
      </c>
      <c r="E22" s="431">
        <f t="shared" ref="E22:T22" si="3">+E387</f>
        <v>2571983</v>
      </c>
      <c r="F22" s="246">
        <f t="shared" si="3"/>
        <v>345497.24999999988</v>
      </c>
      <c r="G22" s="246">
        <f t="shared" si="3"/>
        <v>345497.24999999988</v>
      </c>
      <c r="H22" s="246">
        <f t="shared" si="3"/>
        <v>345497.24999999988</v>
      </c>
      <c r="I22" s="246">
        <f t="shared" si="3"/>
        <v>345497.24999999988</v>
      </c>
      <c r="J22" s="246">
        <f t="shared" si="3"/>
        <v>360185</v>
      </c>
      <c r="K22" s="246">
        <f t="shared" si="3"/>
        <v>360185</v>
      </c>
      <c r="L22" s="246">
        <f t="shared" si="3"/>
        <v>360185</v>
      </c>
      <c r="M22" s="246">
        <f t="shared" si="3"/>
        <v>360185</v>
      </c>
      <c r="N22" s="246">
        <f t="shared" si="3"/>
        <v>360185</v>
      </c>
      <c r="O22" s="246">
        <f t="shared" si="3"/>
        <v>360185</v>
      </c>
      <c r="P22" s="246">
        <f t="shared" si="3"/>
        <v>360185</v>
      </c>
      <c r="Q22" s="246">
        <f t="shared" si="3"/>
        <v>360185</v>
      </c>
      <c r="R22" s="195">
        <f>SUM(F22:Q22)</f>
        <v>4263469</v>
      </c>
      <c r="S22" s="195">
        <f t="shared" si="3"/>
        <v>4434007.76</v>
      </c>
      <c r="T22" s="195">
        <f t="shared" si="3"/>
        <v>4611368.0704000015</v>
      </c>
    </row>
    <row r="23" spans="1:20" s="384" customFormat="1" x14ac:dyDescent="0.2">
      <c r="A23" s="382"/>
      <c r="B23" s="383"/>
      <c r="C23" s="384" t="s">
        <v>407</v>
      </c>
      <c r="D23" s="385">
        <v>0</v>
      </c>
      <c r="E23" s="385">
        <v>0</v>
      </c>
      <c r="F23" s="386">
        <v>0</v>
      </c>
      <c r="G23" s="386">
        <v>0</v>
      </c>
      <c r="H23" s="386">
        <v>0</v>
      </c>
      <c r="I23" s="386">
        <v>0</v>
      </c>
      <c r="J23" s="386">
        <v>0</v>
      </c>
      <c r="K23" s="386">
        <v>0</v>
      </c>
      <c r="L23" s="386">
        <v>0</v>
      </c>
      <c r="M23" s="386">
        <v>0</v>
      </c>
      <c r="N23" s="386">
        <v>0</v>
      </c>
      <c r="O23" s="386">
        <v>0</v>
      </c>
      <c r="P23" s="386">
        <v>0</v>
      </c>
      <c r="Q23" s="386">
        <v>0</v>
      </c>
      <c r="R23" s="387">
        <f>SUM(F23:Q23)</f>
        <v>0</v>
      </c>
      <c r="S23" s="388">
        <f>+R23</f>
        <v>0</v>
      </c>
      <c r="T23" s="388">
        <f>+S23</f>
        <v>0</v>
      </c>
    </row>
    <row r="24" spans="1:20" s="384" customFormat="1" x14ac:dyDescent="0.2">
      <c r="A24" s="382"/>
      <c r="B24" s="383"/>
      <c r="C24" s="384" t="s">
        <v>91</v>
      </c>
      <c r="D24" s="389">
        <v>0</v>
      </c>
      <c r="E24" s="389">
        <v>0</v>
      </c>
      <c r="F24" s="390">
        <v>0</v>
      </c>
      <c r="G24" s="390">
        <v>0</v>
      </c>
      <c r="H24" s="390">
        <v>0</v>
      </c>
      <c r="I24" s="390">
        <v>0</v>
      </c>
      <c r="J24" s="390">
        <v>0</v>
      </c>
      <c r="K24" s="390">
        <v>0</v>
      </c>
      <c r="L24" s="390">
        <v>0</v>
      </c>
      <c r="M24" s="390">
        <v>0</v>
      </c>
      <c r="N24" s="390">
        <v>0</v>
      </c>
      <c r="O24" s="390">
        <v>0</v>
      </c>
      <c r="P24" s="390">
        <v>0</v>
      </c>
      <c r="Q24" s="390">
        <v>0</v>
      </c>
      <c r="R24" s="391">
        <f>SUM(F24:Q24)</f>
        <v>0</v>
      </c>
      <c r="S24" s="388">
        <f>+R24</f>
        <v>0</v>
      </c>
      <c r="T24" s="388">
        <f>+S24</f>
        <v>0</v>
      </c>
    </row>
    <row r="25" spans="1:20" s="18" customFormat="1" x14ac:dyDescent="0.2">
      <c r="A25" s="324"/>
      <c r="B25" s="325"/>
      <c r="C25" s="18" t="s">
        <v>92</v>
      </c>
      <c r="D25" s="434">
        <f>SUM(D22:D24)</f>
        <v>1990424</v>
      </c>
      <c r="E25" s="434">
        <f>SUM(E22:E24)</f>
        <v>2571983</v>
      </c>
      <c r="F25" s="444">
        <f>SUM(F22:F24)</f>
        <v>345497.24999999988</v>
      </c>
      <c r="G25" s="444">
        <f>SUM(G22:G24)</f>
        <v>345497.24999999988</v>
      </c>
      <c r="H25" s="444">
        <f t="shared" ref="H25:T25" si="4">SUM(H22:H24)</f>
        <v>345497.24999999988</v>
      </c>
      <c r="I25" s="444">
        <f t="shared" si="4"/>
        <v>345497.24999999988</v>
      </c>
      <c r="J25" s="444">
        <f t="shared" si="4"/>
        <v>360185</v>
      </c>
      <c r="K25" s="444">
        <f t="shared" si="4"/>
        <v>360185</v>
      </c>
      <c r="L25" s="444">
        <f t="shared" si="4"/>
        <v>360185</v>
      </c>
      <c r="M25" s="444">
        <f t="shared" si="4"/>
        <v>360185</v>
      </c>
      <c r="N25" s="444">
        <f t="shared" si="4"/>
        <v>360185</v>
      </c>
      <c r="O25" s="444">
        <f t="shared" si="4"/>
        <v>360185</v>
      </c>
      <c r="P25" s="444">
        <f t="shared" si="4"/>
        <v>360185</v>
      </c>
      <c r="Q25" s="444">
        <f t="shared" si="4"/>
        <v>360185</v>
      </c>
      <c r="R25" s="445">
        <f t="shared" si="4"/>
        <v>4263469</v>
      </c>
      <c r="S25" s="445">
        <f t="shared" si="4"/>
        <v>4434007.76</v>
      </c>
      <c r="T25" s="445">
        <f t="shared" si="4"/>
        <v>4611368.0704000015</v>
      </c>
    </row>
    <row r="26" spans="1:20" x14ac:dyDescent="0.2">
      <c r="A26" s="16">
        <v>46</v>
      </c>
      <c r="B26" s="240">
        <v>52000500</v>
      </c>
      <c r="C26" t="s">
        <v>363</v>
      </c>
      <c r="D26" s="385"/>
      <c r="E26" s="385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96"/>
      <c r="S26" s="196"/>
      <c r="T26" s="196"/>
    </row>
    <row r="27" spans="1:20" s="384" customFormat="1" x14ac:dyDescent="0.2">
      <c r="A27" s="382"/>
      <c r="B27" s="383"/>
      <c r="C27" s="384" t="s">
        <v>364</v>
      </c>
      <c r="D27" s="385">
        <v>0</v>
      </c>
      <c r="E27" s="385">
        <v>0</v>
      </c>
      <c r="F27" s="386">
        <v>0</v>
      </c>
      <c r="G27" s="386">
        <v>0</v>
      </c>
      <c r="H27" s="386">
        <v>0</v>
      </c>
      <c r="I27" s="386">
        <v>0</v>
      </c>
      <c r="J27" s="386">
        <v>0</v>
      </c>
      <c r="K27" s="386">
        <v>0</v>
      </c>
      <c r="L27" s="386">
        <v>0</v>
      </c>
      <c r="M27" s="386">
        <v>0</v>
      </c>
      <c r="N27" s="386">
        <v>0</v>
      </c>
      <c r="O27" s="386">
        <v>0</v>
      </c>
      <c r="P27" s="386">
        <v>0</v>
      </c>
      <c r="Q27" s="386">
        <v>0</v>
      </c>
      <c r="R27" s="387">
        <f>SUM(F27:Q27)</f>
        <v>0</v>
      </c>
      <c r="S27" s="388">
        <v>0</v>
      </c>
      <c r="T27" s="388">
        <v>0</v>
      </c>
    </row>
    <row r="28" spans="1:20" s="396" customFormat="1" x14ac:dyDescent="0.2">
      <c r="A28" s="393"/>
      <c r="B28" s="394"/>
      <c r="C28" s="384" t="s">
        <v>364</v>
      </c>
      <c r="D28" s="385">
        <v>0</v>
      </c>
      <c r="E28" s="385">
        <v>0</v>
      </c>
      <c r="F28" s="395">
        <v>0</v>
      </c>
      <c r="G28" s="395">
        <v>0</v>
      </c>
      <c r="H28" s="395">
        <v>0</v>
      </c>
      <c r="I28" s="395">
        <v>0</v>
      </c>
      <c r="J28" s="395">
        <v>0</v>
      </c>
      <c r="K28" s="395">
        <v>0</v>
      </c>
      <c r="L28" s="395">
        <v>0</v>
      </c>
      <c r="M28" s="395">
        <v>0</v>
      </c>
      <c r="N28" s="395">
        <v>0</v>
      </c>
      <c r="O28" s="395">
        <v>0</v>
      </c>
      <c r="P28" s="395">
        <v>0</v>
      </c>
      <c r="Q28" s="395">
        <v>0</v>
      </c>
      <c r="R28" s="387">
        <f>SUM(F28:Q28)</f>
        <v>0</v>
      </c>
      <c r="S28" s="388">
        <v>0</v>
      </c>
      <c r="T28" s="388">
        <v>0</v>
      </c>
    </row>
    <row r="29" spans="1:20" s="384" customFormat="1" x14ac:dyDescent="0.2">
      <c r="A29" s="382"/>
      <c r="B29" s="383"/>
      <c r="C29" s="384" t="s">
        <v>364</v>
      </c>
      <c r="D29" s="389">
        <v>0</v>
      </c>
      <c r="E29" s="389">
        <v>0</v>
      </c>
      <c r="F29" s="390">
        <v>0</v>
      </c>
      <c r="G29" s="390">
        <v>0</v>
      </c>
      <c r="H29" s="390">
        <v>0</v>
      </c>
      <c r="I29" s="390">
        <v>0</v>
      </c>
      <c r="J29" s="390">
        <v>0</v>
      </c>
      <c r="K29" s="390">
        <v>0</v>
      </c>
      <c r="L29" s="390">
        <v>0</v>
      </c>
      <c r="M29" s="390">
        <v>0</v>
      </c>
      <c r="N29" s="390">
        <v>0</v>
      </c>
      <c r="O29" s="390">
        <v>0</v>
      </c>
      <c r="P29" s="390">
        <v>0</v>
      </c>
      <c r="Q29" s="390">
        <v>0</v>
      </c>
      <c r="R29" s="391">
        <f>SUM(F29:Q29)</f>
        <v>0</v>
      </c>
      <c r="S29" s="392">
        <v>0</v>
      </c>
      <c r="T29" s="392">
        <v>0</v>
      </c>
    </row>
    <row r="30" spans="1:20" s="18" customFormat="1" x14ac:dyDescent="0.2">
      <c r="A30" s="324"/>
      <c r="B30" s="325"/>
      <c r="C30" s="18" t="s">
        <v>92</v>
      </c>
      <c r="D30" s="432">
        <f t="shared" ref="D30:Q30" si="5">SUM(D27:D29)</f>
        <v>0</v>
      </c>
      <c r="E30" s="432">
        <f t="shared" si="5"/>
        <v>0</v>
      </c>
      <c r="F30" s="18">
        <f t="shared" si="5"/>
        <v>0</v>
      </c>
      <c r="G30" s="18">
        <f t="shared" si="5"/>
        <v>0</v>
      </c>
      <c r="H30" s="18">
        <f t="shared" si="5"/>
        <v>0</v>
      </c>
      <c r="I30" s="18">
        <f t="shared" si="5"/>
        <v>0</v>
      </c>
      <c r="J30" s="18">
        <f t="shared" si="5"/>
        <v>0</v>
      </c>
      <c r="K30" s="18">
        <f t="shared" si="5"/>
        <v>0</v>
      </c>
      <c r="L30" s="18">
        <f t="shared" si="5"/>
        <v>0</v>
      </c>
      <c r="M30" s="18">
        <f t="shared" si="5"/>
        <v>0</v>
      </c>
      <c r="N30" s="18">
        <f t="shared" si="5"/>
        <v>0</v>
      </c>
      <c r="O30" s="18">
        <f t="shared" si="5"/>
        <v>0</v>
      </c>
      <c r="P30" s="18">
        <f t="shared" si="5"/>
        <v>0</v>
      </c>
      <c r="Q30" s="18">
        <f t="shared" si="5"/>
        <v>0</v>
      </c>
      <c r="R30" s="248">
        <f>SUM(F30:Q30)</f>
        <v>0</v>
      </c>
      <c r="S30" s="248">
        <f>SUM(S27:S29)</f>
        <v>0</v>
      </c>
      <c r="T30" s="248">
        <f>SUM(T27:T29)</f>
        <v>0</v>
      </c>
    </row>
    <row r="31" spans="1:20" x14ac:dyDescent="0.2">
      <c r="A31" s="16">
        <v>47</v>
      </c>
      <c r="B31" s="243">
        <v>52000500</v>
      </c>
      <c r="C31" t="s">
        <v>93</v>
      </c>
      <c r="D31" s="385"/>
      <c r="E31" s="385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96"/>
      <c r="S31" s="196"/>
      <c r="T31" s="196"/>
    </row>
    <row r="32" spans="1:20" s="384" customFormat="1" x14ac:dyDescent="0.2">
      <c r="A32" s="382"/>
      <c r="B32" s="383"/>
      <c r="C32" s="384" t="s">
        <v>91</v>
      </c>
      <c r="D32" s="385">
        <v>0</v>
      </c>
      <c r="E32" s="385">
        <v>0</v>
      </c>
      <c r="F32" s="386">
        <f>300000/12</f>
        <v>25000</v>
      </c>
      <c r="G32" s="386">
        <f t="shared" ref="G32:Q32" si="6">300000/12</f>
        <v>25000</v>
      </c>
      <c r="H32" s="386">
        <f t="shared" si="6"/>
        <v>25000</v>
      </c>
      <c r="I32" s="386">
        <f t="shared" si="6"/>
        <v>25000</v>
      </c>
      <c r="J32" s="386">
        <f t="shared" si="6"/>
        <v>25000</v>
      </c>
      <c r="K32" s="386">
        <f t="shared" si="6"/>
        <v>25000</v>
      </c>
      <c r="L32" s="386">
        <f t="shared" si="6"/>
        <v>25000</v>
      </c>
      <c r="M32" s="386">
        <f t="shared" si="6"/>
        <v>25000</v>
      </c>
      <c r="N32" s="386">
        <f t="shared" si="6"/>
        <v>25000</v>
      </c>
      <c r="O32" s="386">
        <f t="shared" si="6"/>
        <v>25000</v>
      </c>
      <c r="P32" s="386">
        <f t="shared" si="6"/>
        <v>25000</v>
      </c>
      <c r="Q32" s="386">
        <f t="shared" si="6"/>
        <v>25000</v>
      </c>
      <c r="R32" s="387">
        <f>SUM(F32:Q32)</f>
        <v>300000</v>
      </c>
      <c r="S32" s="388">
        <v>0</v>
      </c>
      <c r="T32" s="388">
        <v>0</v>
      </c>
    </row>
    <row r="33" spans="1:20" s="384" customFormat="1" x14ac:dyDescent="0.2">
      <c r="A33" s="382"/>
      <c r="B33" s="383"/>
      <c r="C33" s="384" t="s">
        <v>91</v>
      </c>
      <c r="D33" s="389">
        <v>0</v>
      </c>
      <c r="E33" s="389">
        <v>0</v>
      </c>
      <c r="F33" s="390">
        <v>0</v>
      </c>
      <c r="G33" s="390">
        <v>0</v>
      </c>
      <c r="H33" s="390">
        <v>0</v>
      </c>
      <c r="I33" s="390">
        <v>0</v>
      </c>
      <c r="J33" s="390">
        <v>0</v>
      </c>
      <c r="K33" s="390">
        <v>0</v>
      </c>
      <c r="L33" s="390">
        <v>0</v>
      </c>
      <c r="M33" s="390">
        <v>0</v>
      </c>
      <c r="N33" s="390">
        <v>0</v>
      </c>
      <c r="O33" s="390">
        <v>0</v>
      </c>
      <c r="P33" s="390">
        <v>0</v>
      </c>
      <c r="Q33" s="390">
        <v>0</v>
      </c>
      <c r="R33" s="391">
        <f>SUM(F33:Q33)</f>
        <v>0</v>
      </c>
      <c r="S33" s="392">
        <v>0</v>
      </c>
      <c r="T33" s="392">
        <v>0</v>
      </c>
    </row>
    <row r="34" spans="1:20" s="76" customFormat="1" x14ac:dyDescent="0.2">
      <c r="A34" s="85"/>
      <c r="B34" s="312"/>
      <c r="C34" s="76" t="s">
        <v>92</v>
      </c>
      <c r="D34" s="406">
        <f t="shared" ref="D34:Q34" si="7">SUM(D32:D33)</f>
        <v>0</v>
      </c>
      <c r="E34" s="406">
        <f t="shared" si="7"/>
        <v>0</v>
      </c>
      <c r="F34" s="76">
        <f t="shared" si="7"/>
        <v>25000</v>
      </c>
      <c r="G34" s="76">
        <f t="shared" si="7"/>
        <v>25000</v>
      </c>
      <c r="H34" s="76">
        <f t="shared" si="7"/>
        <v>25000</v>
      </c>
      <c r="I34" s="76">
        <f t="shared" si="7"/>
        <v>25000</v>
      </c>
      <c r="J34" s="76">
        <f t="shared" si="7"/>
        <v>25000</v>
      </c>
      <c r="K34" s="76">
        <f t="shared" si="7"/>
        <v>25000</v>
      </c>
      <c r="L34" s="76">
        <f t="shared" si="7"/>
        <v>25000</v>
      </c>
      <c r="M34" s="76">
        <f t="shared" si="7"/>
        <v>25000</v>
      </c>
      <c r="N34" s="76">
        <f t="shared" si="7"/>
        <v>25000</v>
      </c>
      <c r="O34" s="76">
        <f t="shared" si="7"/>
        <v>25000</v>
      </c>
      <c r="P34" s="76">
        <f t="shared" si="7"/>
        <v>25000</v>
      </c>
      <c r="Q34" s="76">
        <f t="shared" si="7"/>
        <v>25000</v>
      </c>
      <c r="R34" s="199">
        <f>SUM(F34:Q34)</f>
        <v>300000</v>
      </c>
      <c r="S34" s="199">
        <f>SUM(S32:S33)</f>
        <v>0</v>
      </c>
      <c r="T34" s="199">
        <f>SUM(T32:T33)</f>
        <v>0</v>
      </c>
    </row>
    <row r="35" spans="1:20" s="15" customFormat="1" ht="15.75" x14ac:dyDescent="0.25">
      <c r="A35" s="86"/>
      <c r="B35" s="311">
        <v>52000500</v>
      </c>
      <c r="C35" s="15" t="s">
        <v>94</v>
      </c>
      <c r="D35" s="430">
        <f t="shared" ref="D35:M35" si="8">+D34+D25+D30</f>
        <v>1990424</v>
      </c>
      <c r="E35" s="430">
        <f t="shared" si="8"/>
        <v>2571983</v>
      </c>
      <c r="F35" s="239">
        <f t="shared" si="8"/>
        <v>370497.24999999988</v>
      </c>
      <c r="G35" s="239">
        <f t="shared" si="8"/>
        <v>370497.24999999988</v>
      </c>
      <c r="H35" s="239">
        <f t="shared" si="8"/>
        <v>370497.24999999988</v>
      </c>
      <c r="I35" s="239">
        <f t="shared" si="8"/>
        <v>370497.24999999988</v>
      </c>
      <c r="J35" s="239">
        <f t="shared" si="8"/>
        <v>385185</v>
      </c>
      <c r="K35" s="239">
        <f t="shared" si="8"/>
        <v>385185</v>
      </c>
      <c r="L35" s="239">
        <f t="shared" si="8"/>
        <v>385185</v>
      </c>
      <c r="M35" s="239">
        <f t="shared" si="8"/>
        <v>385185</v>
      </c>
      <c r="N35" s="239">
        <f t="shared" ref="N35:T35" si="9">+N34+N25+N30</f>
        <v>385185</v>
      </c>
      <c r="O35" s="239">
        <f t="shared" si="9"/>
        <v>385185</v>
      </c>
      <c r="P35" s="239">
        <f t="shared" si="9"/>
        <v>385185</v>
      </c>
      <c r="Q35" s="239">
        <f t="shared" si="9"/>
        <v>385185</v>
      </c>
      <c r="R35" s="200">
        <f t="shared" si="9"/>
        <v>4563469</v>
      </c>
      <c r="S35" s="200">
        <f t="shared" si="9"/>
        <v>4434007.76</v>
      </c>
      <c r="T35" s="200">
        <f t="shared" si="9"/>
        <v>4611368.0704000015</v>
      </c>
    </row>
    <row r="36" spans="1:20" x14ac:dyDescent="0.2">
      <c r="A36" s="58"/>
      <c r="B36" s="240"/>
      <c r="D36" s="385"/>
      <c r="E36" s="385"/>
      <c r="F36" s="8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96"/>
      <c r="S36" s="196"/>
      <c r="T36" s="196"/>
    </row>
    <row r="37" spans="1:20" x14ac:dyDescent="0.2">
      <c r="A37" s="91"/>
      <c r="B37" s="241"/>
      <c r="C37" s="18"/>
      <c r="D37" s="385"/>
      <c r="E37" s="38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96"/>
      <c r="S37" s="196"/>
      <c r="T37" s="196"/>
    </row>
    <row r="38" spans="1:20" ht="15.75" x14ac:dyDescent="0.25">
      <c r="A38" s="223"/>
      <c r="B38" s="316" t="s">
        <v>107</v>
      </c>
      <c r="C38" s="302"/>
      <c r="D38" s="385"/>
      <c r="E38" s="38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96"/>
      <c r="S38" s="196"/>
      <c r="T38" s="196"/>
    </row>
    <row r="39" spans="1:20" s="246" customFormat="1" ht="15.75" x14ac:dyDescent="0.25">
      <c r="A39" s="324" t="s">
        <v>108</v>
      </c>
      <c r="B39" s="325">
        <v>59003000</v>
      </c>
      <c r="C39" s="18" t="s">
        <v>109</v>
      </c>
      <c r="D39" s="431">
        <v>150676</v>
      </c>
      <c r="E39" s="431">
        <v>155005</v>
      </c>
      <c r="F39" s="246">
        <f t="shared" ref="F39:T39" si="10">+F472</f>
        <v>71095</v>
      </c>
      <c r="G39" s="246">
        <f t="shared" si="10"/>
        <v>31095</v>
      </c>
      <c r="H39" s="246">
        <f t="shared" si="10"/>
        <v>31095</v>
      </c>
      <c r="I39" s="246">
        <f t="shared" si="10"/>
        <v>31095</v>
      </c>
      <c r="J39" s="246">
        <f t="shared" si="10"/>
        <v>26343</v>
      </c>
      <c r="K39" s="246">
        <f t="shared" si="10"/>
        <v>26343</v>
      </c>
      <c r="L39" s="246">
        <f t="shared" si="10"/>
        <v>23787</v>
      </c>
      <c r="M39" s="246">
        <f t="shared" si="10"/>
        <v>23787</v>
      </c>
      <c r="N39" s="246">
        <f t="shared" si="10"/>
        <v>10905</v>
      </c>
      <c r="O39" s="246">
        <f t="shared" si="10"/>
        <v>10905</v>
      </c>
      <c r="P39" s="246">
        <f t="shared" si="10"/>
        <v>10905</v>
      </c>
      <c r="Q39" s="246">
        <f t="shared" si="10"/>
        <v>10905</v>
      </c>
      <c r="R39" s="195">
        <f t="shared" si="10"/>
        <v>308260</v>
      </c>
      <c r="S39" s="195">
        <f t="shared" si="10"/>
        <v>321737</v>
      </c>
      <c r="T39" s="195">
        <f t="shared" si="10"/>
        <v>332776</v>
      </c>
    </row>
    <row r="40" spans="1:20" x14ac:dyDescent="0.2">
      <c r="A40" s="58"/>
      <c r="B40" s="240"/>
      <c r="C40" s="18"/>
      <c r="D40" s="385"/>
      <c r="E40" s="38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96"/>
      <c r="S40" s="196"/>
      <c r="T40" s="196"/>
    </row>
    <row r="41" spans="1:20" x14ac:dyDescent="0.2">
      <c r="A41" s="58"/>
      <c r="B41" s="240"/>
      <c r="D41" s="385"/>
      <c r="E41" s="38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96"/>
      <c r="S41" s="196"/>
      <c r="T41" s="196"/>
    </row>
    <row r="42" spans="1:20" ht="15.75" x14ac:dyDescent="0.25">
      <c r="A42" s="87"/>
      <c r="B42" s="313" t="s">
        <v>105</v>
      </c>
      <c r="C42" s="301"/>
      <c r="D42" s="385"/>
      <c r="E42" s="38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96"/>
      <c r="S42" s="196"/>
      <c r="T42" s="196"/>
    </row>
    <row r="43" spans="1:20" s="246" customFormat="1" ht="15.75" x14ac:dyDescent="0.25">
      <c r="A43" s="324" t="s">
        <v>106</v>
      </c>
      <c r="B43" s="325">
        <v>52001000</v>
      </c>
      <c r="C43" s="18" t="s">
        <v>418</v>
      </c>
      <c r="D43" s="431">
        <v>285292</v>
      </c>
      <c r="E43" s="431">
        <v>277189</v>
      </c>
      <c r="F43" s="246">
        <f t="shared" ref="F43:Q43" si="11">ROUND((+(+F13+F14+F15)*(4800/12))+(0.0935*F387),0)</f>
        <v>45104</v>
      </c>
      <c r="G43" s="246">
        <f t="shared" si="11"/>
        <v>45104</v>
      </c>
      <c r="H43" s="246">
        <f t="shared" si="11"/>
        <v>45104</v>
      </c>
      <c r="I43" s="246">
        <f t="shared" si="11"/>
        <v>45104</v>
      </c>
      <c r="J43" s="246">
        <f t="shared" si="11"/>
        <v>46477</v>
      </c>
      <c r="K43" s="246">
        <f t="shared" si="11"/>
        <v>46477</v>
      </c>
      <c r="L43" s="246">
        <f t="shared" si="11"/>
        <v>46477</v>
      </c>
      <c r="M43" s="246">
        <f t="shared" si="11"/>
        <v>46477</v>
      </c>
      <c r="N43" s="246">
        <f t="shared" si="11"/>
        <v>46477</v>
      </c>
      <c r="O43" s="246">
        <f t="shared" si="11"/>
        <v>46477</v>
      </c>
      <c r="P43" s="246">
        <f t="shared" si="11"/>
        <v>46477</v>
      </c>
      <c r="Q43" s="246">
        <f t="shared" si="11"/>
        <v>46477</v>
      </c>
      <c r="R43" s="195">
        <f>SUM(F43:Q43)</f>
        <v>552232</v>
      </c>
      <c r="S43" s="195">
        <f>((+S13+S14+S15)*5000)+0.0935*S387</f>
        <v>589579.72555999993</v>
      </c>
      <c r="T43" s="195">
        <f>((+T13+T14+T15)*5200)+0.0935*T387</f>
        <v>613162.91458240012</v>
      </c>
    </row>
    <row r="44" spans="1:20" s="15" customFormat="1" ht="15.75" x14ac:dyDescent="0.25">
      <c r="A44" s="91"/>
      <c r="B44" s="241"/>
      <c r="C44" s="18"/>
      <c r="D44" s="433"/>
      <c r="E44" s="433"/>
      <c r="R44" s="209"/>
      <c r="S44" s="209"/>
      <c r="T44" s="209"/>
    </row>
    <row r="45" spans="1:20" s="15" customFormat="1" ht="15.75" x14ac:dyDescent="0.25">
      <c r="A45" s="91"/>
      <c r="B45" s="241"/>
      <c r="C45" s="18"/>
      <c r="D45" s="433"/>
      <c r="E45" s="433"/>
      <c r="R45" s="209"/>
      <c r="S45" s="209"/>
      <c r="T45" s="209"/>
    </row>
    <row r="46" spans="1:20" ht="15.75" x14ac:dyDescent="0.25">
      <c r="A46" s="87"/>
      <c r="B46" s="313" t="s">
        <v>417</v>
      </c>
      <c r="C46" s="301"/>
      <c r="D46" s="385"/>
      <c r="E46" s="385"/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96"/>
      <c r="S46" s="196"/>
      <c r="T46" s="196"/>
    </row>
    <row r="47" spans="1:20" x14ac:dyDescent="0.2">
      <c r="A47" s="323" t="s">
        <v>365</v>
      </c>
      <c r="B47" s="240">
        <v>52001500</v>
      </c>
      <c r="C47" t="s">
        <v>369</v>
      </c>
      <c r="D47" s="385"/>
      <c r="E47" s="385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96"/>
      <c r="S47" s="196"/>
      <c r="T47" s="196"/>
    </row>
    <row r="48" spans="1:20" s="384" customFormat="1" x14ac:dyDescent="0.2">
      <c r="A48" s="382"/>
      <c r="B48" s="383"/>
      <c r="C48" s="384" t="s">
        <v>91</v>
      </c>
      <c r="D48" s="385">
        <v>0</v>
      </c>
      <c r="E48" s="385">
        <v>0</v>
      </c>
      <c r="F48" s="386">
        <f>2000/12</f>
        <v>166.66666666666666</v>
      </c>
      <c r="G48" s="386">
        <v>166.66666666666666</v>
      </c>
      <c r="H48" s="386">
        <v>166.66666666666666</v>
      </c>
      <c r="I48" s="386">
        <v>166.66666666666666</v>
      </c>
      <c r="J48" s="386">
        <v>166.66666666666666</v>
      </c>
      <c r="K48" s="386">
        <v>166.66666666666666</v>
      </c>
      <c r="L48" s="386">
        <v>166.66666666666666</v>
      </c>
      <c r="M48" s="386">
        <v>166.66666666666666</v>
      </c>
      <c r="N48" s="386">
        <v>166.66666666666666</v>
      </c>
      <c r="O48" s="386">
        <v>166.66666666666666</v>
      </c>
      <c r="P48" s="386">
        <v>166.66666666666666</v>
      </c>
      <c r="Q48" s="386">
        <v>166.66666666666666</v>
      </c>
      <c r="R48" s="387">
        <f>SUM(F48:Q48)</f>
        <v>2000.0000000000002</v>
      </c>
      <c r="S48" s="388">
        <v>2060</v>
      </c>
      <c r="T48" s="203">
        <f>ROUND(S48*1.05,0)</f>
        <v>2163</v>
      </c>
    </row>
    <row r="49" spans="1:20" s="384" customFormat="1" x14ac:dyDescent="0.2">
      <c r="A49" s="382"/>
      <c r="B49" s="383"/>
      <c r="C49" s="384" t="s">
        <v>91</v>
      </c>
      <c r="D49" s="389">
        <v>0</v>
      </c>
      <c r="E49" s="389">
        <v>0</v>
      </c>
      <c r="F49" s="390">
        <v>0</v>
      </c>
      <c r="G49" s="390">
        <v>0</v>
      </c>
      <c r="H49" s="390">
        <v>0</v>
      </c>
      <c r="I49" s="390">
        <v>0</v>
      </c>
      <c r="J49" s="390">
        <v>0</v>
      </c>
      <c r="K49" s="390">
        <v>0</v>
      </c>
      <c r="L49" s="390">
        <v>0</v>
      </c>
      <c r="M49" s="390">
        <v>0</v>
      </c>
      <c r="N49" s="390">
        <v>0</v>
      </c>
      <c r="O49" s="390">
        <v>0</v>
      </c>
      <c r="P49" s="390">
        <v>0</v>
      </c>
      <c r="Q49" s="390">
        <v>0</v>
      </c>
      <c r="R49" s="391">
        <f>SUM(F49:Q49)</f>
        <v>0</v>
      </c>
      <c r="S49" s="392">
        <f>ROUND(R49*1.05,0)</f>
        <v>0</v>
      </c>
      <c r="T49" s="392">
        <f>ROUND(S49*1.05,0)</f>
        <v>0</v>
      </c>
    </row>
    <row r="50" spans="1:20" s="18" customFormat="1" x14ac:dyDescent="0.2">
      <c r="A50" s="324"/>
      <c r="B50" s="325"/>
      <c r="C50" s="18" t="s">
        <v>92</v>
      </c>
      <c r="D50" s="432">
        <f t="shared" ref="D50:Q50" si="12">SUM(D48:D49)</f>
        <v>0</v>
      </c>
      <c r="E50" s="432">
        <f t="shared" si="12"/>
        <v>0</v>
      </c>
      <c r="F50" s="18">
        <f t="shared" si="12"/>
        <v>166.66666666666666</v>
      </c>
      <c r="G50" s="18">
        <f t="shared" si="12"/>
        <v>166.66666666666666</v>
      </c>
      <c r="H50" s="18">
        <f t="shared" si="12"/>
        <v>166.66666666666666</v>
      </c>
      <c r="I50" s="18">
        <f t="shared" si="12"/>
        <v>166.66666666666666</v>
      </c>
      <c r="J50" s="18">
        <f t="shared" si="12"/>
        <v>166.66666666666666</v>
      </c>
      <c r="K50" s="18">
        <f t="shared" si="12"/>
        <v>166.66666666666666</v>
      </c>
      <c r="L50" s="18">
        <f t="shared" si="12"/>
        <v>166.66666666666666</v>
      </c>
      <c r="M50" s="18">
        <f t="shared" si="12"/>
        <v>166.66666666666666</v>
      </c>
      <c r="N50" s="18">
        <f t="shared" si="12"/>
        <v>166.66666666666666</v>
      </c>
      <c r="O50" s="18">
        <f t="shared" si="12"/>
        <v>166.66666666666666</v>
      </c>
      <c r="P50" s="18">
        <f t="shared" si="12"/>
        <v>166.66666666666666</v>
      </c>
      <c r="Q50" s="18">
        <f t="shared" si="12"/>
        <v>166.66666666666666</v>
      </c>
      <c r="R50" s="248">
        <f>SUM(F50:Q50)</f>
        <v>2000.0000000000002</v>
      </c>
      <c r="S50" s="248">
        <f>SUM(S48:S49)</f>
        <v>2060</v>
      </c>
      <c r="T50" s="248">
        <f>SUM(T48:T49)</f>
        <v>2163</v>
      </c>
    </row>
    <row r="51" spans="1:20" x14ac:dyDescent="0.2">
      <c r="A51" s="16">
        <v>56</v>
      </c>
      <c r="B51" s="240">
        <v>52002000</v>
      </c>
      <c r="C51" t="s">
        <v>370</v>
      </c>
      <c r="D51" s="385"/>
      <c r="E51" s="385"/>
      <c r="F51" s="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196"/>
      <c r="S51" s="196"/>
      <c r="T51" s="196"/>
    </row>
    <row r="52" spans="1:20" s="384" customFormat="1" x14ac:dyDescent="0.2">
      <c r="A52" s="382"/>
      <c r="B52" s="383"/>
      <c r="C52" s="384" t="s">
        <v>91</v>
      </c>
      <c r="D52" s="385">
        <v>0</v>
      </c>
      <c r="E52" s="385">
        <v>312</v>
      </c>
      <c r="F52" s="386">
        <f>15000/12</f>
        <v>1250</v>
      </c>
      <c r="G52" s="386">
        <v>1250</v>
      </c>
      <c r="H52" s="386">
        <v>1250</v>
      </c>
      <c r="I52" s="386">
        <v>1250</v>
      </c>
      <c r="J52" s="386">
        <v>1250</v>
      </c>
      <c r="K52" s="386">
        <v>1250</v>
      </c>
      <c r="L52" s="386">
        <v>1250</v>
      </c>
      <c r="M52" s="386">
        <v>1250</v>
      </c>
      <c r="N52" s="386">
        <v>1250</v>
      </c>
      <c r="O52" s="386">
        <v>1250</v>
      </c>
      <c r="P52" s="386">
        <v>1250</v>
      </c>
      <c r="Q52" s="386">
        <v>1250</v>
      </c>
      <c r="R52" s="387">
        <f>SUM(F52:Q52)</f>
        <v>15000</v>
      </c>
      <c r="S52" s="388">
        <v>15450</v>
      </c>
      <c r="T52" s="203">
        <f>ROUND(S52*1.05,0)</f>
        <v>16223</v>
      </c>
    </row>
    <row r="53" spans="1:20" s="384" customFormat="1" x14ac:dyDescent="0.2">
      <c r="A53" s="382"/>
      <c r="B53" s="383"/>
      <c r="C53" s="384" t="s">
        <v>91</v>
      </c>
      <c r="D53" s="389">
        <v>0</v>
      </c>
      <c r="E53" s="389">
        <v>0</v>
      </c>
      <c r="F53" s="390">
        <v>0</v>
      </c>
      <c r="G53" s="390">
        <v>0</v>
      </c>
      <c r="H53" s="390">
        <v>0</v>
      </c>
      <c r="I53" s="390">
        <v>0</v>
      </c>
      <c r="J53" s="390">
        <v>0</v>
      </c>
      <c r="K53" s="390">
        <v>0</v>
      </c>
      <c r="L53" s="390">
        <v>0</v>
      </c>
      <c r="M53" s="390">
        <v>0</v>
      </c>
      <c r="N53" s="390">
        <v>0</v>
      </c>
      <c r="O53" s="390">
        <v>0</v>
      </c>
      <c r="P53" s="390">
        <v>0</v>
      </c>
      <c r="Q53" s="390">
        <v>0</v>
      </c>
      <c r="R53" s="391">
        <f>SUM(F53:Q53)</f>
        <v>0</v>
      </c>
      <c r="S53" s="392">
        <f>ROUND(R53*1.05,0)</f>
        <v>0</v>
      </c>
      <c r="T53" s="392">
        <f>ROUND(S53*1.05,0)</f>
        <v>0</v>
      </c>
    </row>
    <row r="54" spans="1:20" s="18" customFormat="1" x14ac:dyDescent="0.2">
      <c r="A54" s="324"/>
      <c r="B54" s="325"/>
      <c r="C54" s="18" t="s">
        <v>92</v>
      </c>
      <c r="D54" s="432">
        <f t="shared" ref="D54:Q54" si="13">SUM(D52:D53)</f>
        <v>0</v>
      </c>
      <c r="E54" s="434">
        <f t="shared" si="13"/>
        <v>312</v>
      </c>
      <c r="F54" s="18">
        <f t="shared" si="13"/>
        <v>1250</v>
      </c>
      <c r="G54" s="18">
        <f t="shared" si="13"/>
        <v>1250</v>
      </c>
      <c r="H54" s="18">
        <f t="shared" si="13"/>
        <v>1250</v>
      </c>
      <c r="I54" s="18">
        <f t="shared" si="13"/>
        <v>1250</v>
      </c>
      <c r="J54" s="18">
        <f t="shared" si="13"/>
        <v>1250</v>
      </c>
      <c r="K54" s="18">
        <f t="shared" si="13"/>
        <v>1250</v>
      </c>
      <c r="L54" s="18">
        <f t="shared" si="13"/>
        <v>1250</v>
      </c>
      <c r="M54" s="18">
        <f t="shared" si="13"/>
        <v>1250</v>
      </c>
      <c r="N54" s="18">
        <f t="shared" si="13"/>
        <v>1250</v>
      </c>
      <c r="O54" s="18">
        <f t="shared" si="13"/>
        <v>1250</v>
      </c>
      <c r="P54" s="18">
        <f t="shared" si="13"/>
        <v>1250</v>
      </c>
      <c r="Q54" s="18">
        <f t="shared" si="13"/>
        <v>1250</v>
      </c>
      <c r="R54" s="248">
        <f>SUM(F54:Q54)</f>
        <v>15000</v>
      </c>
      <c r="S54" s="248">
        <f>SUM(S52:S53)</f>
        <v>15450</v>
      </c>
      <c r="T54" s="248">
        <f>SUM(T52:T53)</f>
        <v>16223</v>
      </c>
    </row>
    <row r="55" spans="1:20" x14ac:dyDescent="0.2">
      <c r="A55" s="58" t="s">
        <v>95</v>
      </c>
      <c r="B55" s="240">
        <v>52002500</v>
      </c>
      <c r="C55" t="s">
        <v>371</v>
      </c>
      <c r="D55" s="385"/>
      <c r="E55" s="385"/>
      <c r="F55" s="8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96"/>
      <c r="S55" s="196"/>
      <c r="T55" s="196"/>
    </row>
    <row r="56" spans="1:20" s="384" customFormat="1" x14ac:dyDescent="0.2">
      <c r="A56" s="382"/>
      <c r="B56" s="383"/>
      <c r="C56" s="384" t="s">
        <v>91</v>
      </c>
      <c r="D56" s="385">
        <v>0</v>
      </c>
      <c r="E56" s="385">
        <v>35475</v>
      </c>
      <c r="F56" s="386">
        <v>0</v>
      </c>
      <c r="G56" s="386">
        <v>0</v>
      </c>
      <c r="H56" s="386">
        <v>0</v>
      </c>
      <c r="I56" s="386">
        <v>0</v>
      </c>
      <c r="J56" s="386">
        <v>0</v>
      </c>
      <c r="K56" s="386">
        <v>0</v>
      </c>
      <c r="L56" s="386">
        <v>0</v>
      </c>
      <c r="M56" s="386">
        <v>0</v>
      </c>
      <c r="N56" s="386">
        <v>0</v>
      </c>
      <c r="O56" s="386">
        <v>0</v>
      </c>
      <c r="P56" s="386">
        <v>0</v>
      </c>
      <c r="Q56" s="386">
        <v>0</v>
      </c>
      <c r="R56" s="387">
        <f>SUM(F56:Q56)</f>
        <v>0</v>
      </c>
      <c r="S56" s="388">
        <f>ROUND(R56*1.05,0)</f>
        <v>0</v>
      </c>
      <c r="T56" s="388">
        <f>ROUND(S56*1.05,0)</f>
        <v>0</v>
      </c>
    </row>
    <row r="57" spans="1:20" s="384" customFormat="1" x14ac:dyDescent="0.2">
      <c r="A57" s="382"/>
      <c r="B57" s="383"/>
      <c r="C57" s="384" t="s">
        <v>91</v>
      </c>
      <c r="D57" s="389">
        <v>0</v>
      </c>
      <c r="E57" s="389">
        <v>0</v>
      </c>
      <c r="F57" s="390">
        <v>0</v>
      </c>
      <c r="G57" s="390">
        <v>0</v>
      </c>
      <c r="H57" s="390">
        <v>0</v>
      </c>
      <c r="I57" s="390">
        <v>0</v>
      </c>
      <c r="J57" s="390">
        <v>0</v>
      </c>
      <c r="K57" s="390">
        <v>0</v>
      </c>
      <c r="L57" s="390">
        <v>0</v>
      </c>
      <c r="M57" s="390">
        <v>0</v>
      </c>
      <c r="N57" s="390">
        <v>0</v>
      </c>
      <c r="O57" s="390">
        <v>0</v>
      </c>
      <c r="P57" s="390">
        <v>0</v>
      </c>
      <c r="Q57" s="390">
        <v>0</v>
      </c>
      <c r="R57" s="391">
        <f>SUM(F57:Q57)</f>
        <v>0</v>
      </c>
      <c r="S57" s="392">
        <f>ROUND(R57*1.05,0)</f>
        <v>0</v>
      </c>
      <c r="T57" s="392">
        <f>ROUND(S57*1.05,0)</f>
        <v>0</v>
      </c>
    </row>
    <row r="58" spans="1:20" s="18" customFormat="1" x14ac:dyDescent="0.2">
      <c r="A58" s="324"/>
      <c r="B58" s="325"/>
      <c r="C58" s="18" t="s">
        <v>92</v>
      </c>
      <c r="D58" s="432">
        <f t="shared" ref="D58:Q58" si="14">SUM(D56:D57)</f>
        <v>0</v>
      </c>
      <c r="E58" s="432">
        <f t="shared" si="14"/>
        <v>35475</v>
      </c>
      <c r="F58" s="18">
        <f t="shared" si="14"/>
        <v>0</v>
      </c>
      <c r="G58" s="18">
        <f t="shared" si="14"/>
        <v>0</v>
      </c>
      <c r="H58" s="18">
        <f t="shared" si="14"/>
        <v>0</v>
      </c>
      <c r="I58" s="18">
        <f t="shared" si="14"/>
        <v>0</v>
      </c>
      <c r="J58" s="18">
        <f t="shared" si="14"/>
        <v>0</v>
      </c>
      <c r="K58" s="18">
        <f t="shared" si="14"/>
        <v>0</v>
      </c>
      <c r="L58" s="18">
        <f t="shared" si="14"/>
        <v>0</v>
      </c>
      <c r="M58" s="18">
        <f t="shared" si="14"/>
        <v>0</v>
      </c>
      <c r="N58" s="18">
        <f t="shared" si="14"/>
        <v>0</v>
      </c>
      <c r="O58" s="18">
        <f t="shared" si="14"/>
        <v>0</v>
      </c>
      <c r="P58" s="18">
        <f t="shared" si="14"/>
        <v>0</v>
      </c>
      <c r="Q58" s="18">
        <f t="shared" si="14"/>
        <v>0</v>
      </c>
      <c r="R58" s="248">
        <f>SUM(F58:Q58)</f>
        <v>0</v>
      </c>
      <c r="S58" s="248">
        <f>SUM(S56:S57)</f>
        <v>0</v>
      </c>
      <c r="T58" s="248">
        <f>SUM(T56:T57)</f>
        <v>0</v>
      </c>
    </row>
    <row r="59" spans="1:20" x14ac:dyDescent="0.2">
      <c r="A59" s="58"/>
      <c r="B59" s="240">
        <v>52003000</v>
      </c>
      <c r="C59" t="s">
        <v>372</v>
      </c>
      <c r="D59" s="385"/>
      <c r="E59" s="385"/>
      <c r="F59" s="8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96"/>
      <c r="S59" s="196"/>
      <c r="T59" s="196"/>
    </row>
    <row r="60" spans="1:20" s="384" customFormat="1" x14ac:dyDescent="0.2">
      <c r="A60" s="382"/>
      <c r="B60" s="383"/>
      <c r="C60" s="384" t="s">
        <v>91</v>
      </c>
      <c r="D60" s="385">
        <v>20004</v>
      </c>
      <c r="E60" s="385">
        <v>27357</v>
      </c>
      <c r="F60" s="386">
        <f>46350/12</f>
        <v>3862.5</v>
      </c>
      <c r="G60" s="386">
        <v>3862.5</v>
      </c>
      <c r="H60" s="386">
        <v>3862.5</v>
      </c>
      <c r="I60" s="386">
        <v>3862.5</v>
      </c>
      <c r="J60" s="386">
        <v>3862.5</v>
      </c>
      <c r="K60" s="386">
        <v>3862.5</v>
      </c>
      <c r="L60" s="386">
        <v>3862.5</v>
      </c>
      <c r="M60" s="386">
        <v>3862.5</v>
      </c>
      <c r="N60" s="386">
        <v>3862.5</v>
      </c>
      <c r="O60" s="386">
        <v>3862.5</v>
      </c>
      <c r="P60" s="386">
        <v>3862.5</v>
      </c>
      <c r="Q60" s="386">
        <v>3862.5</v>
      </c>
      <c r="R60" s="387">
        <f>SUM(F60:Q60)</f>
        <v>46350</v>
      </c>
      <c r="S60" s="388">
        <v>47741</v>
      </c>
      <c r="T60" s="203">
        <f>ROUND(S60*1.05,0)</f>
        <v>50128</v>
      </c>
    </row>
    <row r="61" spans="1:20" s="384" customFormat="1" x14ac:dyDescent="0.2">
      <c r="A61" s="382"/>
      <c r="B61" s="383"/>
      <c r="C61" s="384" t="s">
        <v>91</v>
      </c>
      <c r="D61" s="389">
        <v>0</v>
      </c>
      <c r="E61" s="389">
        <v>0</v>
      </c>
      <c r="F61" s="390">
        <v>0</v>
      </c>
      <c r="G61" s="390">
        <v>0</v>
      </c>
      <c r="H61" s="390">
        <v>0</v>
      </c>
      <c r="I61" s="390">
        <v>0</v>
      </c>
      <c r="J61" s="390">
        <v>0</v>
      </c>
      <c r="K61" s="390">
        <v>0</v>
      </c>
      <c r="L61" s="390">
        <v>0</v>
      </c>
      <c r="M61" s="390">
        <v>0</v>
      </c>
      <c r="N61" s="390">
        <v>0</v>
      </c>
      <c r="O61" s="390">
        <v>0</v>
      </c>
      <c r="P61" s="390">
        <v>0</v>
      </c>
      <c r="Q61" s="390">
        <v>0</v>
      </c>
      <c r="R61" s="391">
        <f>SUM(F61:Q61)</f>
        <v>0</v>
      </c>
      <c r="S61" s="392">
        <f>ROUND(R61*1.05,0)</f>
        <v>0</v>
      </c>
      <c r="T61" s="392">
        <f>ROUND(S61*1.05,0)</f>
        <v>0</v>
      </c>
    </row>
    <row r="62" spans="1:20" s="18" customFormat="1" x14ac:dyDescent="0.2">
      <c r="A62" s="324"/>
      <c r="B62" s="325"/>
      <c r="C62" s="18" t="s">
        <v>92</v>
      </c>
      <c r="D62" s="432">
        <f t="shared" ref="D62:Q62" si="15">SUM(D60:D61)</f>
        <v>20004</v>
      </c>
      <c r="E62" s="432">
        <f t="shared" si="15"/>
        <v>27357</v>
      </c>
      <c r="F62" s="18">
        <f t="shared" si="15"/>
        <v>3862.5</v>
      </c>
      <c r="G62" s="18">
        <f t="shared" si="15"/>
        <v>3862.5</v>
      </c>
      <c r="H62" s="18">
        <f t="shared" si="15"/>
        <v>3862.5</v>
      </c>
      <c r="I62" s="18">
        <f t="shared" si="15"/>
        <v>3862.5</v>
      </c>
      <c r="J62" s="18">
        <f t="shared" si="15"/>
        <v>3862.5</v>
      </c>
      <c r="K62" s="18">
        <f t="shared" si="15"/>
        <v>3862.5</v>
      </c>
      <c r="L62" s="18">
        <f t="shared" si="15"/>
        <v>3862.5</v>
      </c>
      <c r="M62" s="18">
        <f t="shared" si="15"/>
        <v>3862.5</v>
      </c>
      <c r="N62" s="18">
        <f t="shared" si="15"/>
        <v>3862.5</v>
      </c>
      <c r="O62" s="18">
        <f t="shared" si="15"/>
        <v>3862.5</v>
      </c>
      <c r="P62" s="18">
        <f t="shared" si="15"/>
        <v>3862.5</v>
      </c>
      <c r="Q62" s="18">
        <f t="shared" si="15"/>
        <v>3862.5</v>
      </c>
      <c r="R62" s="248">
        <f>SUM(F62:Q62)</f>
        <v>46350</v>
      </c>
      <c r="S62" s="248">
        <f>SUM(S60:S61)</f>
        <v>47741</v>
      </c>
      <c r="T62" s="248">
        <f>SUM(T60:T61)</f>
        <v>50128</v>
      </c>
    </row>
    <row r="63" spans="1:20" x14ac:dyDescent="0.2">
      <c r="A63" s="58" t="s">
        <v>96</v>
      </c>
      <c r="B63" s="240">
        <v>52003500</v>
      </c>
      <c r="C63" t="s">
        <v>373</v>
      </c>
      <c r="D63" s="385"/>
      <c r="E63" s="385"/>
      <c r="F63" s="8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96"/>
      <c r="S63" s="196"/>
      <c r="T63" s="196"/>
    </row>
    <row r="64" spans="1:20" s="384" customFormat="1" x14ac:dyDescent="0.2">
      <c r="A64" s="382"/>
      <c r="B64" s="383"/>
      <c r="C64" s="384" t="s">
        <v>91</v>
      </c>
      <c r="D64" s="385">
        <v>65004</v>
      </c>
      <c r="E64" s="385">
        <v>0</v>
      </c>
      <c r="F64" s="386">
        <f>30000/12</f>
        <v>2500</v>
      </c>
      <c r="G64" s="386">
        <v>2500</v>
      </c>
      <c r="H64" s="386">
        <v>2500</v>
      </c>
      <c r="I64" s="386">
        <v>2500</v>
      </c>
      <c r="J64" s="386">
        <v>2500</v>
      </c>
      <c r="K64" s="386">
        <v>2500</v>
      </c>
      <c r="L64" s="386">
        <v>2500</v>
      </c>
      <c r="M64" s="386">
        <v>2500</v>
      </c>
      <c r="N64" s="386">
        <v>2500</v>
      </c>
      <c r="O64" s="386">
        <v>2500</v>
      </c>
      <c r="P64" s="386">
        <v>2500</v>
      </c>
      <c r="Q64" s="386">
        <v>2500</v>
      </c>
      <c r="R64" s="387">
        <f>SUM(F64:Q64)</f>
        <v>30000</v>
      </c>
      <c r="S64" s="388">
        <v>30900</v>
      </c>
      <c r="T64" s="203">
        <f>ROUND(S64*1.05,0)</f>
        <v>32445</v>
      </c>
    </row>
    <row r="65" spans="1:20" s="384" customFormat="1" x14ac:dyDescent="0.2">
      <c r="A65" s="382"/>
      <c r="B65" s="383"/>
      <c r="C65" s="384" t="s">
        <v>91</v>
      </c>
      <c r="D65" s="389">
        <v>45000</v>
      </c>
      <c r="E65" s="389">
        <v>121639</v>
      </c>
      <c r="F65" s="390">
        <v>0</v>
      </c>
      <c r="G65" s="390">
        <v>0</v>
      </c>
      <c r="H65" s="390">
        <v>0</v>
      </c>
      <c r="I65" s="390">
        <v>0</v>
      </c>
      <c r="J65" s="390">
        <v>0</v>
      </c>
      <c r="K65" s="390">
        <v>0</v>
      </c>
      <c r="L65" s="390">
        <v>0</v>
      </c>
      <c r="M65" s="390">
        <v>0</v>
      </c>
      <c r="N65" s="390">
        <v>0</v>
      </c>
      <c r="O65" s="390">
        <v>0</v>
      </c>
      <c r="P65" s="390">
        <v>0</v>
      </c>
      <c r="Q65" s="390">
        <v>0</v>
      </c>
      <c r="R65" s="391">
        <f>SUM(F65:Q65)</f>
        <v>0</v>
      </c>
      <c r="S65" s="392">
        <f>ROUND(R65*1.05,0)</f>
        <v>0</v>
      </c>
      <c r="T65" s="392">
        <f>ROUND(S65*1.05,0)</f>
        <v>0</v>
      </c>
    </row>
    <row r="66" spans="1:20" s="18" customFormat="1" x14ac:dyDescent="0.2">
      <c r="A66" s="324"/>
      <c r="B66" s="325"/>
      <c r="C66" s="18" t="s">
        <v>92</v>
      </c>
      <c r="D66" s="432">
        <f t="shared" ref="D66:Q66" si="16">SUM(D64:D65)</f>
        <v>110004</v>
      </c>
      <c r="E66" s="432">
        <f t="shared" si="16"/>
        <v>121639</v>
      </c>
      <c r="F66" s="18">
        <f t="shared" si="16"/>
        <v>2500</v>
      </c>
      <c r="G66" s="18">
        <f t="shared" si="16"/>
        <v>2500</v>
      </c>
      <c r="H66" s="18">
        <f t="shared" si="16"/>
        <v>2500</v>
      </c>
      <c r="I66" s="18">
        <f t="shared" si="16"/>
        <v>2500</v>
      </c>
      <c r="J66" s="18">
        <f t="shared" si="16"/>
        <v>2500</v>
      </c>
      <c r="K66" s="18">
        <f t="shared" si="16"/>
        <v>2500</v>
      </c>
      <c r="L66" s="18">
        <f t="shared" si="16"/>
        <v>2500</v>
      </c>
      <c r="M66" s="18">
        <f t="shared" si="16"/>
        <v>2500</v>
      </c>
      <c r="N66" s="18">
        <f t="shared" si="16"/>
        <v>2500</v>
      </c>
      <c r="O66" s="18">
        <f t="shared" si="16"/>
        <v>2500</v>
      </c>
      <c r="P66" s="18">
        <f t="shared" si="16"/>
        <v>2500</v>
      </c>
      <c r="Q66" s="18">
        <f t="shared" si="16"/>
        <v>2500</v>
      </c>
      <c r="R66" s="248">
        <f>SUM(F66:Q66)</f>
        <v>30000</v>
      </c>
      <c r="S66" s="248">
        <f>SUM(S64:S65)</f>
        <v>30900</v>
      </c>
      <c r="T66" s="248">
        <f>SUM(T64:T65)</f>
        <v>32445</v>
      </c>
    </row>
    <row r="67" spans="1:20" x14ac:dyDescent="0.2">
      <c r="A67" s="58" t="s">
        <v>98</v>
      </c>
      <c r="B67" s="240">
        <v>52004000</v>
      </c>
      <c r="C67" t="s">
        <v>374</v>
      </c>
      <c r="D67" s="385"/>
      <c r="E67" s="38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96"/>
      <c r="S67" s="196"/>
      <c r="T67" s="196"/>
    </row>
    <row r="68" spans="1:20" s="384" customFormat="1" x14ac:dyDescent="0.2">
      <c r="A68" s="382"/>
      <c r="B68" s="383"/>
      <c r="C68" s="384" t="s">
        <v>91</v>
      </c>
      <c r="D68" s="385">
        <v>1000</v>
      </c>
      <c r="E68" s="385">
        <v>0</v>
      </c>
      <c r="F68" s="386">
        <f>1026/12</f>
        <v>85.5</v>
      </c>
      <c r="G68" s="386">
        <v>85.5</v>
      </c>
      <c r="H68" s="386">
        <v>85.5</v>
      </c>
      <c r="I68" s="386">
        <v>85.5</v>
      </c>
      <c r="J68" s="386">
        <v>85.5</v>
      </c>
      <c r="K68" s="386">
        <v>85.5</v>
      </c>
      <c r="L68" s="386">
        <v>85.5</v>
      </c>
      <c r="M68" s="386">
        <v>85.5</v>
      </c>
      <c r="N68" s="386">
        <v>85.5</v>
      </c>
      <c r="O68" s="386">
        <v>85.5</v>
      </c>
      <c r="P68" s="386">
        <v>85.5</v>
      </c>
      <c r="Q68" s="386">
        <v>85.5</v>
      </c>
      <c r="R68" s="387">
        <f>SUM(F68:Q68)</f>
        <v>1026</v>
      </c>
      <c r="S68" s="388">
        <v>1057</v>
      </c>
      <c r="T68" s="203">
        <f>ROUND(S68*1.05,0)</f>
        <v>1110</v>
      </c>
    </row>
    <row r="69" spans="1:20" s="384" customFormat="1" x14ac:dyDescent="0.2">
      <c r="A69" s="382"/>
      <c r="B69" s="383"/>
      <c r="C69" s="384" t="s">
        <v>91</v>
      </c>
      <c r="D69" s="389">
        <v>996</v>
      </c>
      <c r="E69" s="389">
        <v>0</v>
      </c>
      <c r="F69" s="390">
        <v>0</v>
      </c>
      <c r="G69" s="390">
        <v>0</v>
      </c>
      <c r="H69" s="390">
        <v>0</v>
      </c>
      <c r="I69" s="390">
        <v>0</v>
      </c>
      <c r="J69" s="390">
        <v>0</v>
      </c>
      <c r="K69" s="390">
        <v>0</v>
      </c>
      <c r="L69" s="390">
        <v>0</v>
      </c>
      <c r="M69" s="390">
        <v>0</v>
      </c>
      <c r="N69" s="390">
        <v>0</v>
      </c>
      <c r="O69" s="390">
        <v>0</v>
      </c>
      <c r="P69" s="390">
        <v>0</v>
      </c>
      <c r="Q69" s="390">
        <v>0</v>
      </c>
      <c r="R69" s="391">
        <f>SUM(F69:Q69)</f>
        <v>0</v>
      </c>
      <c r="S69" s="392">
        <f>ROUND(R69*1.05,0)</f>
        <v>0</v>
      </c>
      <c r="T69" s="392">
        <f>ROUND(S69*1.05,0)</f>
        <v>0</v>
      </c>
    </row>
    <row r="70" spans="1:20" s="18" customFormat="1" x14ac:dyDescent="0.2">
      <c r="A70" s="324"/>
      <c r="B70" s="325"/>
      <c r="C70" s="18" t="s">
        <v>92</v>
      </c>
      <c r="D70" s="432">
        <f t="shared" ref="D70:Q70" si="17">SUM(D68:D69)</f>
        <v>1996</v>
      </c>
      <c r="E70" s="432">
        <f t="shared" si="17"/>
        <v>0</v>
      </c>
      <c r="F70" s="18">
        <f t="shared" si="17"/>
        <v>85.5</v>
      </c>
      <c r="G70" s="18">
        <f t="shared" si="17"/>
        <v>85.5</v>
      </c>
      <c r="H70" s="18">
        <f t="shared" si="17"/>
        <v>85.5</v>
      </c>
      <c r="I70" s="18">
        <f t="shared" si="17"/>
        <v>85.5</v>
      </c>
      <c r="J70" s="18">
        <f t="shared" si="17"/>
        <v>85.5</v>
      </c>
      <c r="K70" s="18">
        <f t="shared" si="17"/>
        <v>85.5</v>
      </c>
      <c r="L70" s="18">
        <f t="shared" si="17"/>
        <v>85.5</v>
      </c>
      <c r="M70" s="18">
        <f t="shared" si="17"/>
        <v>85.5</v>
      </c>
      <c r="N70" s="18">
        <f t="shared" si="17"/>
        <v>85.5</v>
      </c>
      <c r="O70" s="18">
        <f t="shared" si="17"/>
        <v>85.5</v>
      </c>
      <c r="P70" s="18">
        <f t="shared" si="17"/>
        <v>85.5</v>
      </c>
      <c r="Q70" s="18">
        <f t="shared" si="17"/>
        <v>85.5</v>
      </c>
      <c r="R70" s="248">
        <f>SUM(F70:Q70)</f>
        <v>1026</v>
      </c>
      <c r="S70" s="248">
        <f>SUM(S68:S69)</f>
        <v>1057</v>
      </c>
      <c r="T70" s="248">
        <f>SUM(T68:T69)</f>
        <v>1110</v>
      </c>
    </row>
    <row r="71" spans="1:20" x14ac:dyDescent="0.2">
      <c r="A71" s="58" t="s">
        <v>97</v>
      </c>
      <c r="B71" s="240">
        <v>52004500</v>
      </c>
      <c r="C71" t="s">
        <v>377</v>
      </c>
      <c r="D71" s="385"/>
      <c r="E71" s="385"/>
      <c r="F71" s="8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96"/>
      <c r="S71" s="196"/>
      <c r="T71" s="196"/>
    </row>
    <row r="72" spans="1:20" s="384" customFormat="1" x14ac:dyDescent="0.2">
      <c r="A72" s="382"/>
      <c r="B72" s="383"/>
      <c r="C72" s="384" t="s">
        <v>91</v>
      </c>
      <c r="D72" s="385">
        <v>0</v>
      </c>
      <c r="E72" s="385">
        <v>78172</v>
      </c>
      <c r="F72" s="386">
        <f>160000/12</f>
        <v>13333.333333333334</v>
      </c>
      <c r="G72" s="386">
        <v>13333.333333333334</v>
      </c>
      <c r="H72" s="386">
        <v>13333.333333333334</v>
      </c>
      <c r="I72" s="386">
        <v>13333.333333333334</v>
      </c>
      <c r="J72" s="386">
        <v>13333.333333333334</v>
      </c>
      <c r="K72" s="386">
        <v>13333.333333333334</v>
      </c>
      <c r="L72" s="386">
        <v>13333.333333333334</v>
      </c>
      <c r="M72" s="386">
        <v>13333.333333333334</v>
      </c>
      <c r="N72" s="386">
        <v>13333.333333333334</v>
      </c>
      <c r="O72" s="386">
        <v>13333.333333333334</v>
      </c>
      <c r="P72" s="386">
        <v>13333.333333333334</v>
      </c>
      <c r="Q72" s="386">
        <v>13333.333333333334</v>
      </c>
      <c r="R72" s="387">
        <f>SUM(F72:Q72)</f>
        <v>160000</v>
      </c>
      <c r="S72" s="388">
        <v>164800</v>
      </c>
      <c r="T72" s="203">
        <f>ROUND(S72*1.05,0)</f>
        <v>173040</v>
      </c>
    </row>
    <row r="73" spans="1:20" s="384" customFormat="1" x14ac:dyDescent="0.2">
      <c r="A73" s="382"/>
      <c r="B73" s="383"/>
      <c r="C73" s="384" t="s">
        <v>91</v>
      </c>
      <c r="D73" s="389">
        <v>0</v>
      </c>
      <c r="E73" s="389">
        <v>0</v>
      </c>
      <c r="F73" s="390">
        <v>0</v>
      </c>
      <c r="G73" s="390">
        <v>0</v>
      </c>
      <c r="H73" s="390">
        <v>0</v>
      </c>
      <c r="I73" s="390">
        <v>0</v>
      </c>
      <c r="J73" s="390">
        <v>0</v>
      </c>
      <c r="K73" s="390">
        <v>0</v>
      </c>
      <c r="L73" s="390">
        <v>0</v>
      </c>
      <c r="M73" s="390">
        <v>0</v>
      </c>
      <c r="N73" s="390">
        <v>0</v>
      </c>
      <c r="O73" s="390">
        <v>0</v>
      </c>
      <c r="P73" s="390">
        <v>0</v>
      </c>
      <c r="Q73" s="390">
        <v>0</v>
      </c>
      <c r="R73" s="391">
        <f>SUM(F73:Q73)</f>
        <v>0</v>
      </c>
      <c r="S73" s="392">
        <f>ROUND(R73*1.05,0)</f>
        <v>0</v>
      </c>
      <c r="T73" s="392">
        <f>ROUND(S73*1.05,0)</f>
        <v>0</v>
      </c>
    </row>
    <row r="74" spans="1:20" s="18" customFormat="1" x14ac:dyDescent="0.2">
      <c r="A74" s="324"/>
      <c r="B74" s="325"/>
      <c r="C74" s="18" t="s">
        <v>92</v>
      </c>
      <c r="D74" s="432">
        <f t="shared" ref="D74:Q74" si="18">SUM(D72:D73)</f>
        <v>0</v>
      </c>
      <c r="E74" s="432">
        <f t="shared" si="18"/>
        <v>78172</v>
      </c>
      <c r="F74" s="18">
        <f t="shared" si="18"/>
        <v>13333.333333333334</v>
      </c>
      <c r="G74" s="18">
        <f t="shared" si="18"/>
        <v>13333.333333333334</v>
      </c>
      <c r="H74" s="18">
        <f t="shared" si="18"/>
        <v>13333.333333333334</v>
      </c>
      <c r="I74" s="18">
        <f t="shared" si="18"/>
        <v>13333.333333333334</v>
      </c>
      <c r="J74" s="18">
        <f t="shared" si="18"/>
        <v>13333.333333333334</v>
      </c>
      <c r="K74" s="18">
        <f t="shared" si="18"/>
        <v>13333.333333333334</v>
      </c>
      <c r="L74" s="18">
        <f t="shared" si="18"/>
        <v>13333.333333333334</v>
      </c>
      <c r="M74" s="18">
        <f t="shared" si="18"/>
        <v>13333.333333333334</v>
      </c>
      <c r="N74" s="18">
        <f t="shared" si="18"/>
        <v>13333.333333333334</v>
      </c>
      <c r="O74" s="18">
        <f t="shared" si="18"/>
        <v>13333.333333333334</v>
      </c>
      <c r="P74" s="18">
        <f t="shared" si="18"/>
        <v>13333.333333333334</v>
      </c>
      <c r="Q74" s="18">
        <f t="shared" si="18"/>
        <v>13333.333333333334</v>
      </c>
      <c r="R74" s="248">
        <f>SUM(F74:Q74)</f>
        <v>160000</v>
      </c>
      <c r="S74" s="248">
        <f>SUM(S72:S73)</f>
        <v>164800</v>
      </c>
      <c r="T74" s="248">
        <f>SUM(T72:T73)</f>
        <v>173040</v>
      </c>
    </row>
    <row r="75" spans="1:20" s="76" customFormat="1" x14ac:dyDescent="0.2">
      <c r="A75" s="85"/>
      <c r="B75" s="312"/>
      <c r="D75" s="406"/>
      <c r="E75" s="406"/>
      <c r="R75" s="199"/>
      <c r="S75" s="199"/>
      <c r="T75" s="199"/>
    </row>
    <row r="76" spans="1:20" s="77" customFormat="1" ht="15.75" x14ac:dyDescent="0.25">
      <c r="A76" s="88"/>
      <c r="B76" s="314"/>
      <c r="C76" s="77" t="s">
        <v>99</v>
      </c>
      <c r="D76" s="435">
        <f>+D50+D54+D58+D62+D66+D70+D74</f>
        <v>132004</v>
      </c>
      <c r="E76" s="435">
        <f>+E50+E54+E58+E62+E66+E70+E74</f>
        <v>262955</v>
      </c>
      <c r="F76" s="78">
        <f t="shared" ref="F76:P76" si="19">+F50+F54+F58+F62+F66+F70+F74</f>
        <v>21198</v>
      </c>
      <c r="G76" s="78">
        <f t="shared" si="19"/>
        <v>21198</v>
      </c>
      <c r="H76" s="78">
        <f t="shared" si="19"/>
        <v>21198</v>
      </c>
      <c r="I76" s="78">
        <f t="shared" si="19"/>
        <v>21198</v>
      </c>
      <c r="J76" s="78">
        <f t="shared" si="19"/>
        <v>21198</v>
      </c>
      <c r="K76" s="78">
        <f t="shared" si="19"/>
        <v>21198</v>
      </c>
      <c r="L76" s="78">
        <f t="shared" si="19"/>
        <v>21198</v>
      </c>
      <c r="M76" s="78">
        <f t="shared" si="19"/>
        <v>21198</v>
      </c>
      <c r="N76" s="78">
        <f t="shared" si="19"/>
        <v>21198</v>
      </c>
      <c r="O76" s="78">
        <f t="shared" si="19"/>
        <v>21198</v>
      </c>
      <c r="P76" s="78">
        <f t="shared" si="19"/>
        <v>21198</v>
      </c>
      <c r="Q76" s="78">
        <f>+Q50+Q54+Q58+Q62+Q66+Q70+Q74</f>
        <v>21198</v>
      </c>
      <c r="R76" s="201">
        <f>+R50+R54+R58+R62+R66+R70+R74</f>
        <v>254376</v>
      </c>
      <c r="S76" s="201">
        <f>+S50+S54+S58+S62+S66+S70+S74</f>
        <v>262008</v>
      </c>
      <c r="T76" s="201">
        <f>+T50+T54+T58+T62+T66+T70+T74</f>
        <v>275109</v>
      </c>
    </row>
    <row r="77" spans="1:20" x14ac:dyDescent="0.2">
      <c r="A77" s="58"/>
      <c r="B77" s="240"/>
      <c r="D77" s="385"/>
      <c r="E77" s="38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96"/>
      <c r="S77" s="196"/>
      <c r="T77" s="196"/>
    </row>
    <row r="78" spans="1:20" ht="15.75" x14ac:dyDescent="0.25">
      <c r="A78" s="87"/>
      <c r="B78" s="313" t="s">
        <v>367</v>
      </c>
      <c r="C78" s="301"/>
      <c r="D78" s="436"/>
      <c r="E78" s="436"/>
      <c r="F78" s="33"/>
      <c r="G78" s="33"/>
      <c r="H78" s="33"/>
      <c r="I78" s="33"/>
      <c r="J78" s="33"/>
      <c r="K78" s="33"/>
      <c r="L78" s="33"/>
      <c r="M78" s="33"/>
      <c r="N78" s="8"/>
      <c r="O78" s="8"/>
      <c r="P78" s="8"/>
      <c r="Q78" s="8"/>
      <c r="R78" s="196"/>
      <c r="S78" s="196"/>
      <c r="T78" s="196"/>
    </row>
    <row r="79" spans="1:20" x14ac:dyDescent="0.2">
      <c r="A79" s="323" t="s">
        <v>422</v>
      </c>
      <c r="B79" s="240">
        <v>52500500</v>
      </c>
      <c r="C79" t="s">
        <v>378</v>
      </c>
      <c r="D79" s="385"/>
      <c r="E79" s="38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96"/>
      <c r="S79" s="196"/>
      <c r="T79" s="196"/>
    </row>
    <row r="80" spans="1:20" s="384" customFormat="1" x14ac:dyDescent="0.2">
      <c r="A80" s="382"/>
      <c r="B80" s="383"/>
      <c r="C80" s="384" t="s">
        <v>91</v>
      </c>
      <c r="D80" s="385">
        <v>35004</v>
      </c>
      <c r="E80" s="385">
        <v>1823</v>
      </c>
      <c r="F80" s="386">
        <f>36054/12</f>
        <v>3004.5</v>
      </c>
      <c r="G80" s="386">
        <v>3004.5</v>
      </c>
      <c r="H80" s="386">
        <v>3004.5</v>
      </c>
      <c r="I80" s="386">
        <v>3004.5</v>
      </c>
      <c r="J80" s="386">
        <v>3004.5</v>
      </c>
      <c r="K80" s="386">
        <v>3004.5</v>
      </c>
      <c r="L80" s="386">
        <v>3004.5</v>
      </c>
      <c r="M80" s="386">
        <v>3004.5</v>
      </c>
      <c r="N80" s="386">
        <v>3004.5</v>
      </c>
      <c r="O80" s="386">
        <v>3004.5</v>
      </c>
      <c r="P80" s="386">
        <v>3004.5</v>
      </c>
      <c r="Q80" s="386">
        <v>3004.5</v>
      </c>
      <c r="R80" s="387">
        <f>SUM(F80:Q80)</f>
        <v>36054</v>
      </c>
      <c r="S80" s="388">
        <v>37136</v>
      </c>
      <c r="T80" s="203">
        <f>ROUND(S80*1.05,0)</f>
        <v>38993</v>
      </c>
    </row>
    <row r="81" spans="1:20" s="384" customFormat="1" x14ac:dyDescent="0.2">
      <c r="A81" s="382"/>
      <c r="B81" s="383"/>
      <c r="C81" s="384" t="s">
        <v>91</v>
      </c>
      <c r="D81" s="389">
        <v>0</v>
      </c>
      <c r="E81" s="389">
        <v>5469</v>
      </c>
      <c r="F81" s="390">
        <v>0</v>
      </c>
      <c r="G81" s="390">
        <v>0</v>
      </c>
      <c r="H81" s="390">
        <v>0</v>
      </c>
      <c r="I81" s="390">
        <v>0</v>
      </c>
      <c r="J81" s="390">
        <v>0</v>
      </c>
      <c r="K81" s="390">
        <v>0</v>
      </c>
      <c r="L81" s="390">
        <v>0</v>
      </c>
      <c r="M81" s="390">
        <v>0</v>
      </c>
      <c r="N81" s="390">
        <v>0</v>
      </c>
      <c r="O81" s="390">
        <v>0</v>
      </c>
      <c r="P81" s="390">
        <v>0</v>
      </c>
      <c r="Q81" s="390">
        <v>0</v>
      </c>
      <c r="R81" s="391">
        <f>SUM(F81:Q81)</f>
        <v>0</v>
      </c>
      <c r="S81" s="392">
        <f>ROUND(R81*1.05,0)</f>
        <v>0</v>
      </c>
      <c r="T81" s="392">
        <f>ROUND(S81*1.05,0)</f>
        <v>0</v>
      </c>
    </row>
    <row r="82" spans="1:20" s="18" customFormat="1" x14ac:dyDescent="0.2">
      <c r="A82" s="324"/>
      <c r="B82" s="325"/>
      <c r="C82" s="18" t="s">
        <v>92</v>
      </c>
      <c r="D82" s="432">
        <f t="shared" ref="D82:Q82" si="20">SUM(D80:D81)</f>
        <v>35004</v>
      </c>
      <c r="E82" s="432">
        <f t="shared" si="20"/>
        <v>7292</v>
      </c>
      <c r="F82" s="18">
        <f t="shared" si="20"/>
        <v>3004.5</v>
      </c>
      <c r="G82" s="18">
        <f t="shared" si="20"/>
        <v>3004.5</v>
      </c>
      <c r="H82" s="18">
        <f t="shared" si="20"/>
        <v>3004.5</v>
      </c>
      <c r="I82" s="18">
        <f t="shared" si="20"/>
        <v>3004.5</v>
      </c>
      <c r="J82" s="18">
        <f t="shared" si="20"/>
        <v>3004.5</v>
      </c>
      <c r="K82" s="18">
        <f t="shared" si="20"/>
        <v>3004.5</v>
      </c>
      <c r="L82" s="18">
        <f t="shared" si="20"/>
        <v>3004.5</v>
      </c>
      <c r="M82" s="18">
        <f t="shared" si="20"/>
        <v>3004.5</v>
      </c>
      <c r="N82" s="18">
        <f t="shared" si="20"/>
        <v>3004.5</v>
      </c>
      <c r="O82" s="18">
        <f t="shared" si="20"/>
        <v>3004.5</v>
      </c>
      <c r="P82" s="18">
        <f t="shared" si="20"/>
        <v>3004.5</v>
      </c>
      <c r="Q82" s="18">
        <f t="shared" si="20"/>
        <v>3004.5</v>
      </c>
      <c r="R82" s="248">
        <f>SUM(F82:Q82)</f>
        <v>36054</v>
      </c>
      <c r="S82" s="248">
        <f>SUM(S80:S81)</f>
        <v>37136</v>
      </c>
      <c r="T82" s="248">
        <f>SUM(T80:T81)</f>
        <v>38993</v>
      </c>
    </row>
    <row r="83" spans="1:20" hidden="1" x14ac:dyDescent="0.2">
      <c r="A83" s="323"/>
      <c r="B83" s="240">
        <v>52501000</v>
      </c>
      <c r="C83" t="s">
        <v>379</v>
      </c>
      <c r="D83" s="385"/>
      <c r="E83" s="38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196"/>
      <c r="S83" s="196"/>
      <c r="T83" s="196"/>
    </row>
    <row r="84" spans="1:20" hidden="1" x14ac:dyDescent="0.2">
      <c r="A84" s="58"/>
      <c r="B84" s="240"/>
      <c r="C84" t="s">
        <v>91</v>
      </c>
      <c r="D84" s="385">
        <v>0</v>
      </c>
      <c r="E84" s="385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196">
        <f>SUM(F84:Q84)</f>
        <v>0</v>
      </c>
      <c r="S84" s="203">
        <v>0</v>
      </c>
      <c r="T84" s="203">
        <v>0</v>
      </c>
    </row>
    <row r="85" spans="1:20" hidden="1" x14ac:dyDescent="0.2">
      <c r="A85" s="58"/>
      <c r="B85" s="240"/>
      <c r="C85" t="s">
        <v>91</v>
      </c>
      <c r="D85" s="389">
        <v>0</v>
      </c>
      <c r="E85" s="389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300">
        <f>SUM(F85:Q85)</f>
        <v>0</v>
      </c>
      <c r="S85" s="205">
        <v>0</v>
      </c>
      <c r="T85" s="205">
        <v>0</v>
      </c>
    </row>
    <row r="86" spans="1:20" s="18" customFormat="1" hidden="1" x14ac:dyDescent="0.2">
      <c r="A86" s="324"/>
      <c r="B86" s="325"/>
      <c r="C86" s="18" t="s">
        <v>92</v>
      </c>
      <c r="D86" s="432">
        <f t="shared" ref="D86:Q86" si="21">SUM(D84:D85)</f>
        <v>0</v>
      </c>
      <c r="E86" s="432">
        <f t="shared" si="21"/>
        <v>0</v>
      </c>
      <c r="F86" s="18">
        <f t="shared" si="21"/>
        <v>0</v>
      </c>
      <c r="G86" s="18">
        <f t="shared" si="21"/>
        <v>0</v>
      </c>
      <c r="H86" s="18">
        <f t="shared" si="21"/>
        <v>0</v>
      </c>
      <c r="I86" s="18">
        <f t="shared" si="21"/>
        <v>0</v>
      </c>
      <c r="J86" s="18">
        <f t="shared" si="21"/>
        <v>0</v>
      </c>
      <c r="K86" s="18">
        <f t="shared" si="21"/>
        <v>0</v>
      </c>
      <c r="L86" s="18">
        <f t="shared" si="21"/>
        <v>0</v>
      </c>
      <c r="M86" s="18">
        <f t="shared" si="21"/>
        <v>0</v>
      </c>
      <c r="N86" s="18">
        <f t="shared" si="21"/>
        <v>0</v>
      </c>
      <c r="O86" s="18">
        <f t="shared" si="21"/>
        <v>0</v>
      </c>
      <c r="P86" s="18">
        <f t="shared" si="21"/>
        <v>0</v>
      </c>
      <c r="Q86" s="18">
        <f t="shared" si="21"/>
        <v>0</v>
      </c>
      <c r="R86" s="248">
        <f>SUM(F86:Q86)</f>
        <v>0</v>
      </c>
      <c r="S86" s="248">
        <f>SUM(S84:S85)</f>
        <v>0</v>
      </c>
      <c r="T86" s="248">
        <f>SUM(T84:T85)</f>
        <v>0</v>
      </c>
    </row>
    <row r="87" spans="1:20" s="76" customFormat="1" hidden="1" x14ac:dyDescent="0.2">
      <c r="A87" s="16"/>
      <c r="B87" s="240">
        <v>52501500</v>
      </c>
      <c r="C87" t="s">
        <v>380</v>
      </c>
      <c r="D87" s="436"/>
      <c r="E87" s="436"/>
      <c r="F87" s="33"/>
      <c r="G87" s="33"/>
      <c r="H87" s="33"/>
      <c r="I87" s="33"/>
      <c r="J87" s="33"/>
      <c r="K87" s="33"/>
      <c r="L87" s="33"/>
      <c r="M87" s="33"/>
      <c r="N87" s="9"/>
      <c r="O87" s="9"/>
      <c r="P87" s="9"/>
      <c r="Q87" s="9"/>
      <c r="R87" s="196"/>
      <c r="S87" s="196"/>
      <c r="T87" s="196"/>
    </row>
    <row r="88" spans="1:20" s="76" customFormat="1" hidden="1" x14ac:dyDescent="0.2">
      <c r="A88" s="58"/>
      <c r="B88" s="240"/>
      <c r="C88" t="s">
        <v>91</v>
      </c>
      <c r="D88" s="385">
        <v>0</v>
      </c>
      <c r="E88" s="385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196">
        <f>SUM(F88:Q88)</f>
        <v>0</v>
      </c>
      <c r="S88" s="203">
        <v>0</v>
      </c>
      <c r="T88" s="203">
        <v>0</v>
      </c>
    </row>
    <row r="89" spans="1:20" s="76" customFormat="1" hidden="1" x14ac:dyDescent="0.2">
      <c r="A89" s="58"/>
      <c r="B89" s="240"/>
      <c r="C89" t="s">
        <v>91</v>
      </c>
      <c r="D89" s="389">
        <v>0</v>
      </c>
      <c r="E89" s="389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300">
        <f>SUM(F89:Q89)</f>
        <v>0</v>
      </c>
      <c r="S89" s="205">
        <v>0</v>
      </c>
      <c r="T89" s="205">
        <v>0</v>
      </c>
    </row>
    <row r="90" spans="1:20" s="18" customFormat="1" hidden="1" x14ac:dyDescent="0.2">
      <c r="A90" s="324"/>
      <c r="B90" s="325"/>
      <c r="C90" s="18" t="s">
        <v>92</v>
      </c>
      <c r="D90" s="432">
        <f t="shared" ref="D90:Q90" si="22">SUM(D88:D89)</f>
        <v>0</v>
      </c>
      <c r="E90" s="432">
        <f t="shared" si="22"/>
        <v>0</v>
      </c>
      <c r="F90" s="18">
        <f t="shared" si="22"/>
        <v>0</v>
      </c>
      <c r="G90" s="18">
        <f t="shared" si="22"/>
        <v>0</v>
      </c>
      <c r="H90" s="18">
        <f t="shared" si="22"/>
        <v>0</v>
      </c>
      <c r="I90" s="18">
        <f t="shared" si="22"/>
        <v>0</v>
      </c>
      <c r="J90" s="18">
        <f t="shared" si="22"/>
        <v>0</v>
      </c>
      <c r="K90" s="18">
        <f t="shared" si="22"/>
        <v>0</v>
      </c>
      <c r="L90" s="18">
        <f t="shared" si="22"/>
        <v>0</v>
      </c>
      <c r="M90" s="18">
        <f t="shared" si="22"/>
        <v>0</v>
      </c>
      <c r="N90" s="18">
        <f t="shared" si="22"/>
        <v>0</v>
      </c>
      <c r="O90" s="18">
        <f t="shared" si="22"/>
        <v>0</v>
      </c>
      <c r="P90" s="18">
        <f t="shared" si="22"/>
        <v>0</v>
      </c>
      <c r="Q90" s="18">
        <f t="shared" si="22"/>
        <v>0</v>
      </c>
      <c r="R90" s="248">
        <f>SUM(F90:Q90)</f>
        <v>0</v>
      </c>
      <c r="S90" s="248">
        <f>SUM(S88:S89)</f>
        <v>0</v>
      </c>
      <c r="T90" s="248">
        <f>SUM(T88:T89)</f>
        <v>0</v>
      </c>
    </row>
    <row r="91" spans="1:20" x14ac:dyDescent="0.2">
      <c r="A91" s="247" t="s">
        <v>423</v>
      </c>
      <c r="B91" s="240">
        <v>52503500</v>
      </c>
      <c r="C91" t="s">
        <v>381</v>
      </c>
      <c r="D91" s="385"/>
      <c r="E91" s="385"/>
      <c r="F91" s="8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96"/>
      <c r="S91" s="196"/>
      <c r="T91" s="196"/>
    </row>
    <row r="92" spans="1:20" s="384" customFormat="1" x14ac:dyDescent="0.2">
      <c r="A92" s="382"/>
      <c r="B92" s="383"/>
      <c r="C92" s="384" t="s">
        <v>91</v>
      </c>
      <c r="D92" s="385">
        <v>2496</v>
      </c>
      <c r="E92" s="385">
        <v>7018</v>
      </c>
      <c r="F92" s="386">
        <f>4000/12</f>
        <v>333.33333333333331</v>
      </c>
      <c r="G92" s="386">
        <v>333.33333333333331</v>
      </c>
      <c r="H92" s="386">
        <v>333.33333333333331</v>
      </c>
      <c r="I92" s="386">
        <v>333.33333333333331</v>
      </c>
      <c r="J92" s="386">
        <v>333.33333333333331</v>
      </c>
      <c r="K92" s="386">
        <v>333.33333333333331</v>
      </c>
      <c r="L92" s="386">
        <v>333.33333333333331</v>
      </c>
      <c r="M92" s="386">
        <v>333.33333333333331</v>
      </c>
      <c r="N92" s="386">
        <v>333.33333333333331</v>
      </c>
      <c r="O92" s="386">
        <v>333.33333333333331</v>
      </c>
      <c r="P92" s="386">
        <v>333.33333333333331</v>
      </c>
      <c r="Q92" s="386">
        <v>333.33333333333331</v>
      </c>
      <c r="R92" s="387">
        <f>SUM(F92:Q92)</f>
        <v>4000.0000000000005</v>
      </c>
      <c r="S92" s="388">
        <v>4120</v>
      </c>
      <c r="T92" s="203">
        <f>ROUND(S92*1.05,0)</f>
        <v>4326</v>
      </c>
    </row>
    <row r="93" spans="1:20" s="384" customFormat="1" x14ac:dyDescent="0.2">
      <c r="A93" s="382"/>
      <c r="B93" s="383"/>
      <c r="C93" s="384" t="s">
        <v>91</v>
      </c>
      <c r="D93" s="389">
        <v>396</v>
      </c>
      <c r="E93" s="389">
        <v>108698</v>
      </c>
      <c r="F93" s="390">
        <v>0</v>
      </c>
      <c r="G93" s="390">
        <v>0</v>
      </c>
      <c r="H93" s="390">
        <v>0</v>
      </c>
      <c r="I93" s="390">
        <v>0</v>
      </c>
      <c r="J93" s="390">
        <v>0</v>
      </c>
      <c r="K93" s="390">
        <v>0</v>
      </c>
      <c r="L93" s="390">
        <v>0</v>
      </c>
      <c r="M93" s="390">
        <v>0</v>
      </c>
      <c r="N93" s="390">
        <v>0</v>
      </c>
      <c r="O93" s="390">
        <v>0</v>
      </c>
      <c r="P93" s="390">
        <v>0</v>
      </c>
      <c r="Q93" s="390">
        <v>0</v>
      </c>
      <c r="R93" s="391">
        <f>SUM(F93:Q93)</f>
        <v>0</v>
      </c>
      <c r="S93" s="392">
        <f>ROUND(R93*1.05,0)</f>
        <v>0</v>
      </c>
      <c r="T93" s="392">
        <f>ROUND(S93*1.05,0)</f>
        <v>0</v>
      </c>
    </row>
    <row r="94" spans="1:20" s="18" customFormat="1" ht="13.5" customHeight="1" x14ac:dyDescent="0.2">
      <c r="A94" s="324"/>
      <c r="B94" s="325"/>
      <c r="C94" s="18" t="s">
        <v>92</v>
      </c>
      <c r="D94" s="432">
        <f t="shared" ref="D94:Q94" si="23">SUM(D92:D93)</f>
        <v>2892</v>
      </c>
      <c r="E94" s="432">
        <f t="shared" si="23"/>
        <v>115716</v>
      </c>
      <c r="F94" s="18">
        <f t="shared" si="23"/>
        <v>333.33333333333331</v>
      </c>
      <c r="G94" s="18">
        <f t="shared" si="23"/>
        <v>333.33333333333331</v>
      </c>
      <c r="H94" s="18">
        <f t="shared" si="23"/>
        <v>333.33333333333331</v>
      </c>
      <c r="I94" s="18">
        <f t="shared" si="23"/>
        <v>333.33333333333331</v>
      </c>
      <c r="J94" s="18">
        <f t="shared" si="23"/>
        <v>333.33333333333331</v>
      </c>
      <c r="K94" s="18">
        <f t="shared" si="23"/>
        <v>333.33333333333331</v>
      </c>
      <c r="L94" s="18">
        <f t="shared" si="23"/>
        <v>333.33333333333331</v>
      </c>
      <c r="M94" s="18">
        <f t="shared" si="23"/>
        <v>333.33333333333331</v>
      </c>
      <c r="N94" s="18">
        <f t="shared" si="23"/>
        <v>333.33333333333331</v>
      </c>
      <c r="O94" s="18">
        <f t="shared" si="23"/>
        <v>333.33333333333331</v>
      </c>
      <c r="P94" s="18">
        <f t="shared" si="23"/>
        <v>333.33333333333331</v>
      </c>
      <c r="Q94" s="18">
        <f t="shared" si="23"/>
        <v>333.33333333333331</v>
      </c>
      <c r="R94" s="248">
        <f>SUM(F94:Q94)</f>
        <v>4000.0000000000005</v>
      </c>
      <c r="S94" s="248">
        <f>SUM(S92:S93)</f>
        <v>4120</v>
      </c>
      <c r="T94" s="248">
        <f>SUM(T92:T93)</f>
        <v>4326</v>
      </c>
    </row>
    <row r="95" spans="1:20" x14ac:dyDescent="0.2">
      <c r="A95" s="323" t="s">
        <v>100</v>
      </c>
      <c r="B95" s="240">
        <v>52504000</v>
      </c>
      <c r="C95" t="s">
        <v>382</v>
      </c>
      <c r="D95" s="385"/>
      <c r="E95" s="385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96"/>
      <c r="S95" s="196"/>
      <c r="T95" s="196"/>
    </row>
    <row r="96" spans="1:20" s="384" customFormat="1" x14ac:dyDescent="0.2">
      <c r="A96" s="382"/>
      <c r="B96" s="383"/>
      <c r="C96" s="384" t="s">
        <v>91</v>
      </c>
      <c r="D96" s="385">
        <v>0</v>
      </c>
      <c r="E96" s="385">
        <v>160</v>
      </c>
      <c r="F96" s="386">
        <v>0</v>
      </c>
      <c r="G96" s="386">
        <v>0</v>
      </c>
      <c r="H96" s="386">
        <v>0</v>
      </c>
      <c r="I96" s="386">
        <v>0</v>
      </c>
      <c r="J96" s="386">
        <v>0</v>
      </c>
      <c r="K96" s="386">
        <v>0</v>
      </c>
      <c r="L96" s="386">
        <v>0</v>
      </c>
      <c r="M96" s="386">
        <v>0</v>
      </c>
      <c r="N96" s="386">
        <v>0</v>
      </c>
      <c r="O96" s="386">
        <v>0</v>
      </c>
      <c r="P96" s="386">
        <v>0</v>
      </c>
      <c r="Q96" s="386">
        <v>0</v>
      </c>
      <c r="R96" s="387">
        <f>SUM(F96:Q96)</f>
        <v>0</v>
      </c>
      <c r="S96" s="388">
        <f>ROUND(R96*1.05,0)</f>
        <v>0</v>
      </c>
      <c r="T96" s="388">
        <f>ROUND(S96*1.05,0)</f>
        <v>0</v>
      </c>
    </row>
    <row r="97" spans="1:20" s="384" customFormat="1" x14ac:dyDescent="0.2">
      <c r="A97" s="382"/>
      <c r="B97" s="383"/>
      <c r="C97" s="384" t="s">
        <v>91</v>
      </c>
      <c r="D97" s="389">
        <v>0</v>
      </c>
      <c r="E97" s="389">
        <v>0</v>
      </c>
      <c r="F97" s="390">
        <v>0</v>
      </c>
      <c r="G97" s="390">
        <v>0</v>
      </c>
      <c r="H97" s="390">
        <v>0</v>
      </c>
      <c r="I97" s="390">
        <v>0</v>
      </c>
      <c r="J97" s="390">
        <v>0</v>
      </c>
      <c r="K97" s="390">
        <v>0</v>
      </c>
      <c r="L97" s="390">
        <v>0</v>
      </c>
      <c r="M97" s="390">
        <v>0</v>
      </c>
      <c r="N97" s="390">
        <v>0</v>
      </c>
      <c r="O97" s="390">
        <v>0</v>
      </c>
      <c r="P97" s="390">
        <v>0</v>
      </c>
      <c r="Q97" s="390">
        <v>0</v>
      </c>
      <c r="R97" s="391">
        <f>SUM(F97:Q97)</f>
        <v>0</v>
      </c>
      <c r="S97" s="392">
        <f>ROUND(R97*1.05,0)</f>
        <v>0</v>
      </c>
      <c r="T97" s="392">
        <f>ROUND(S97*1.05,0)</f>
        <v>0</v>
      </c>
    </row>
    <row r="98" spans="1:20" s="18" customFormat="1" ht="15" customHeight="1" x14ac:dyDescent="0.2">
      <c r="A98" s="324"/>
      <c r="B98" s="325"/>
      <c r="C98" s="18" t="s">
        <v>92</v>
      </c>
      <c r="D98" s="432">
        <f t="shared" ref="D98:T98" si="24">SUM(D96:D97)</f>
        <v>0</v>
      </c>
      <c r="E98" s="432">
        <f t="shared" si="24"/>
        <v>160</v>
      </c>
      <c r="F98" s="18">
        <f t="shared" si="24"/>
        <v>0</v>
      </c>
      <c r="G98" s="18">
        <f t="shared" si="24"/>
        <v>0</v>
      </c>
      <c r="H98" s="18">
        <f t="shared" si="24"/>
        <v>0</v>
      </c>
      <c r="I98" s="18">
        <f t="shared" si="24"/>
        <v>0</v>
      </c>
      <c r="J98" s="18">
        <f t="shared" si="24"/>
        <v>0</v>
      </c>
      <c r="K98" s="18">
        <f t="shared" si="24"/>
        <v>0</v>
      </c>
      <c r="L98" s="18">
        <f t="shared" si="24"/>
        <v>0</v>
      </c>
      <c r="M98" s="18">
        <f t="shared" si="24"/>
        <v>0</v>
      </c>
      <c r="N98" s="18">
        <f t="shared" si="24"/>
        <v>0</v>
      </c>
      <c r="O98" s="18">
        <f t="shared" si="24"/>
        <v>0</v>
      </c>
      <c r="P98" s="18">
        <f t="shared" si="24"/>
        <v>0</v>
      </c>
      <c r="Q98" s="18">
        <f t="shared" si="24"/>
        <v>0</v>
      </c>
      <c r="R98" s="248">
        <f>SUM(F98:Q98)</f>
        <v>0</v>
      </c>
      <c r="S98" s="248">
        <f t="shared" si="24"/>
        <v>0</v>
      </c>
      <c r="T98" s="248">
        <f t="shared" si="24"/>
        <v>0</v>
      </c>
    </row>
    <row r="99" spans="1:20" x14ac:dyDescent="0.2">
      <c r="A99" s="58"/>
      <c r="B99" s="240">
        <v>52504100</v>
      </c>
      <c r="C99" t="s">
        <v>375</v>
      </c>
      <c r="D99" s="385"/>
      <c r="E99" s="385"/>
      <c r="F99" s="8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96"/>
      <c r="S99" s="196"/>
      <c r="T99" s="196"/>
    </row>
    <row r="100" spans="1:20" s="384" customFormat="1" x14ac:dyDescent="0.2">
      <c r="A100" s="382"/>
      <c r="B100" s="383"/>
      <c r="C100" s="384" t="s">
        <v>91</v>
      </c>
      <c r="D100" s="385">
        <v>0</v>
      </c>
      <c r="E100" s="385">
        <v>20000</v>
      </c>
      <c r="F100" s="386">
        <v>0</v>
      </c>
      <c r="G100" s="386">
        <v>0</v>
      </c>
      <c r="H100" s="386">
        <v>0</v>
      </c>
      <c r="I100" s="386">
        <v>0</v>
      </c>
      <c r="J100" s="386">
        <v>0</v>
      </c>
      <c r="K100" s="386">
        <v>0</v>
      </c>
      <c r="L100" s="386">
        <v>0</v>
      </c>
      <c r="M100" s="386">
        <v>0</v>
      </c>
      <c r="N100" s="386">
        <v>0</v>
      </c>
      <c r="O100" s="386">
        <v>0</v>
      </c>
      <c r="P100" s="386">
        <v>0</v>
      </c>
      <c r="Q100" s="386">
        <v>0</v>
      </c>
      <c r="R100" s="387">
        <f>SUM(F100:Q100)</f>
        <v>0</v>
      </c>
      <c r="S100" s="388">
        <f>ROUND(R100*1.05,0)</f>
        <v>0</v>
      </c>
      <c r="T100" s="388">
        <f>ROUND(S100*1.05,0)</f>
        <v>0</v>
      </c>
    </row>
    <row r="101" spans="1:20" s="384" customFormat="1" x14ac:dyDescent="0.2">
      <c r="A101" s="382"/>
      <c r="B101" s="383"/>
      <c r="C101" s="384" t="s">
        <v>91</v>
      </c>
      <c r="D101" s="389">
        <v>0</v>
      </c>
      <c r="E101" s="389">
        <v>0</v>
      </c>
      <c r="F101" s="390">
        <v>0</v>
      </c>
      <c r="G101" s="390">
        <v>0</v>
      </c>
      <c r="H101" s="390">
        <v>0</v>
      </c>
      <c r="I101" s="390">
        <v>0</v>
      </c>
      <c r="J101" s="390">
        <v>0</v>
      </c>
      <c r="K101" s="390">
        <v>0</v>
      </c>
      <c r="L101" s="390">
        <v>0</v>
      </c>
      <c r="M101" s="390">
        <v>0</v>
      </c>
      <c r="N101" s="390">
        <v>0</v>
      </c>
      <c r="O101" s="390">
        <v>0</v>
      </c>
      <c r="P101" s="390">
        <v>0</v>
      </c>
      <c r="Q101" s="390">
        <v>0</v>
      </c>
      <c r="R101" s="391">
        <f>SUM(F101:Q101)</f>
        <v>0</v>
      </c>
      <c r="S101" s="392">
        <f>ROUND(R101*1.05,0)</f>
        <v>0</v>
      </c>
      <c r="T101" s="392">
        <f>ROUND(S101*1.05,0)</f>
        <v>0</v>
      </c>
    </row>
    <row r="102" spans="1:20" s="18" customFormat="1" x14ac:dyDescent="0.2">
      <c r="A102" s="324"/>
      <c r="B102" s="325"/>
      <c r="C102" s="18" t="s">
        <v>92</v>
      </c>
      <c r="D102" s="432">
        <f t="shared" ref="D102:Q102" si="25">SUM(D100:D101)</f>
        <v>0</v>
      </c>
      <c r="E102" s="432">
        <f t="shared" si="25"/>
        <v>20000</v>
      </c>
      <c r="F102" s="18">
        <f t="shared" si="25"/>
        <v>0</v>
      </c>
      <c r="G102" s="18">
        <f t="shared" si="25"/>
        <v>0</v>
      </c>
      <c r="H102" s="18">
        <f t="shared" si="25"/>
        <v>0</v>
      </c>
      <c r="I102" s="18">
        <f t="shared" si="25"/>
        <v>0</v>
      </c>
      <c r="J102" s="18">
        <f t="shared" si="25"/>
        <v>0</v>
      </c>
      <c r="K102" s="18">
        <f t="shared" si="25"/>
        <v>0</v>
      </c>
      <c r="L102" s="18">
        <f t="shared" si="25"/>
        <v>0</v>
      </c>
      <c r="M102" s="18">
        <f t="shared" si="25"/>
        <v>0</v>
      </c>
      <c r="N102" s="18">
        <f t="shared" si="25"/>
        <v>0</v>
      </c>
      <c r="O102" s="18">
        <f t="shared" si="25"/>
        <v>0</v>
      </c>
      <c r="P102" s="18">
        <f t="shared" si="25"/>
        <v>0</v>
      </c>
      <c r="Q102" s="18">
        <f t="shared" si="25"/>
        <v>0</v>
      </c>
      <c r="R102" s="248">
        <f>SUM(F102:Q102)</f>
        <v>0</v>
      </c>
      <c r="S102" s="248">
        <f>SUM(S100:S101)</f>
        <v>0</v>
      </c>
      <c r="T102" s="248">
        <f>SUM(T100:T101)</f>
        <v>0</v>
      </c>
    </row>
    <row r="103" spans="1:20" x14ac:dyDescent="0.2">
      <c r="A103" s="58"/>
      <c r="B103" s="240">
        <v>52504200</v>
      </c>
      <c r="C103" t="s">
        <v>376</v>
      </c>
      <c r="D103" s="385"/>
      <c r="E103" s="385"/>
      <c r="F103" s="8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96"/>
      <c r="S103" s="196"/>
      <c r="T103" s="196"/>
    </row>
    <row r="104" spans="1:20" s="384" customFormat="1" x14ac:dyDescent="0.2">
      <c r="A104" s="382"/>
      <c r="B104" s="383"/>
      <c r="C104" s="384" t="s">
        <v>91</v>
      </c>
      <c r="D104" s="385">
        <v>0</v>
      </c>
      <c r="E104" s="385">
        <v>0</v>
      </c>
      <c r="F104" s="386">
        <v>0</v>
      </c>
      <c r="G104" s="386">
        <v>0</v>
      </c>
      <c r="H104" s="386">
        <v>0</v>
      </c>
      <c r="I104" s="386">
        <v>0</v>
      </c>
      <c r="J104" s="386">
        <v>0</v>
      </c>
      <c r="K104" s="386">
        <v>0</v>
      </c>
      <c r="L104" s="386">
        <v>0</v>
      </c>
      <c r="M104" s="386">
        <v>0</v>
      </c>
      <c r="N104" s="386">
        <v>0</v>
      </c>
      <c r="O104" s="386">
        <v>0</v>
      </c>
      <c r="P104" s="386">
        <v>0</v>
      </c>
      <c r="Q104" s="386">
        <v>0</v>
      </c>
      <c r="R104" s="387">
        <f>SUM(F104:Q104)</f>
        <v>0</v>
      </c>
      <c r="S104" s="388">
        <f>ROUND(R104*1.05,0)</f>
        <v>0</v>
      </c>
      <c r="T104" s="388">
        <f>ROUND(S104*1.05,0)</f>
        <v>0</v>
      </c>
    </row>
    <row r="105" spans="1:20" s="384" customFormat="1" x14ac:dyDescent="0.2">
      <c r="A105" s="382"/>
      <c r="B105" s="383"/>
      <c r="C105" s="384" t="s">
        <v>91</v>
      </c>
      <c r="D105" s="389">
        <v>0</v>
      </c>
      <c r="E105" s="389">
        <v>0</v>
      </c>
      <c r="F105" s="390">
        <v>0</v>
      </c>
      <c r="G105" s="390">
        <v>0</v>
      </c>
      <c r="H105" s="390">
        <v>0</v>
      </c>
      <c r="I105" s="390">
        <v>0</v>
      </c>
      <c r="J105" s="390">
        <v>0</v>
      </c>
      <c r="K105" s="390">
        <v>0</v>
      </c>
      <c r="L105" s="390">
        <v>0</v>
      </c>
      <c r="M105" s="390">
        <v>0</v>
      </c>
      <c r="N105" s="390">
        <v>0</v>
      </c>
      <c r="O105" s="390">
        <v>0</v>
      </c>
      <c r="P105" s="390">
        <v>0</v>
      </c>
      <c r="Q105" s="390">
        <v>0</v>
      </c>
      <c r="R105" s="391">
        <f>SUM(F105:Q105)</f>
        <v>0</v>
      </c>
      <c r="S105" s="392">
        <f>ROUND(R105*1.05,0)</f>
        <v>0</v>
      </c>
      <c r="T105" s="392">
        <f>ROUND(S105*1.05,0)</f>
        <v>0</v>
      </c>
    </row>
    <row r="106" spans="1:20" s="18" customFormat="1" x14ac:dyDescent="0.2">
      <c r="A106" s="324"/>
      <c r="B106" s="325"/>
      <c r="C106" s="18" t="s">
        <v>92</v>
      </c>
      <c r="D106" s="432">
        <f t="shared" ref="D106:Q106" si="26">SUM(D104:D105)</f>
        <v>0</v>
      </c>
      <c r="E106" s="432">
        <f t="shared" si="26"/>
        <v>0</v>
      </c>
      <c r="F106" s="18">
        <f t="shared" si="26"/>
        <v>0</v>
      </c>
      <c r="G106" s="18">
        <f t="shared" si="26"/>
        <v>0</v>
      </c>
      <c r="H106" s="18">
        <f t="shared" si="26"/>
        <v>0</v>
      </c>
      <c r="I106" s="18">
        <f t="shared" si="26"/>
        <v>0</v>
      </c>
      <c r="J106" s="18">
        <f t="shared" si="26"/>
        <v>0</v>
      </c>
      <c r="K106" s="18">
        <f t="shared" si="26"/>
        <v>0</v>
      </c>
      <c r="L106" s="18">
        <f t="shared" si="26"/>
        <v>0</v>
      </c>
      <c r="M106" s="18">
        <f t="shared" si="26"/>
        <v>0</v>
      </c>
      <c r="N106" s="18">
        <f t="shared" si="26"/>
        <v>0</v>
      </c>
      <c r="O106" s="18">
        <f t="shared" si="26"/>
        <v>0</v>
      </c>
      <c r="P106" s="18">
        <f t="shared" si="26"/>
        <v>0</v>
      </c>
      <c r="Q106" s="18">
        <f t="shared" si="26"/>
        <v>0</v>
      </c>
      <c r="R106" s="248">
        <f>SUM(F106:Q106)</f>
        <v>0</v>
      </c>
      <c r="S106" s="248">
        <f>SUM(S104:S105)</f>
        <v>0</v>
      </c>
      <c r="T106" s="248">
        <f>SUM(T104:T105)</f>
        <v>0</v>
      </c>
    </row>
    <row r="107" spans="1:20" x14ac:dyDescent="0.2">
      <c r="A107" s="323" t="s">
        <v>424</v>
      </c>
      <c r="B107" s="240">
        <v>52504500</v>
      </c>
      <c r="C107" t="s">
        <v>383</v>
      </c>
      <c r="D107" s="385"/>
      <c r="E107" s="38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96"/>
      <c r="S107" s="196"/>
      <c r="T107" s="196"/>
    </row>
    <row r="108" spans="1:20" s="384" customFormat="1" x14ac:dyDescent="0.2">
      <c r="A108" s="382"/>
      <c r="B108" s="383"/>
      <c r="C108" s="384" t="s">
        <v>91</v>
      </c>
      <c r="D108" s="385">
        <v>30000</v>
      </c>
      <c r="E108" s="385">
        <v>0</v>
      </c>
      <c r="F108" s="386">
        <f>76000/12</f>
        <v>6333.333333333333</v>
      </c>
      <c r="G108" s="386">
        <v>6333.333333333333</v>
      </c>
      <c r="H108" s="386">
        <v>6333.333333333333</v>
      </c>
      <c r="I108" s="386">
        <v>6333.333333333333</v>
      </c>
      <c r="J108" s="386">
        <v>6333.333333333333</v>
      </c>
      <c r="K108" s="386">
        <v>6333.333333333333</v>
      </c>
      <c r="L108" s="386">
        <v>6333.333333333333</v>
      </c>
      <c r="M108" s="386">
        <v>6333.333333333333</v>
      </c>
      <c r="N108" s="386">
        <v>6333.333333333333</v>
      </c>
      <c r="O108" s="386">
        <v>6333.333333333333</v>
      </c>
      <c r="P108" s="386">
        <v>6333.333333333333</v>
      </c>
      <c r="Q108" s="386">
        <v>6333.333333333333</v>
      </c>
      <c r="R108" s="387">
        <f>SUM(F108:Q108)</f>
        <v>76000</v>
      </c>
      <c r="S108" s="388">
        <v>78280</v>
      </c>
      <c r="T108" s="388">
        <f>ROUND(S108*1.05,0)</f>
        <v>82194</v>
      </c>
    </row>
    <row r="109" spans="1:20" s="384" customFormat="1" x14ac:dyDescent="0.2">
      <c r="A109" s="382"/>
      <c r="B109" s="383"/>
      <c r="C109" s="384" t="s">
        <v>91</v>
      </c>
      <c r="D109" s="389">
        <v>0</v>
      </c>
      <c r="E109" s="389">
        <v>0</v>
      </c>
      <c r="F109" s="390">
        <v>0</v>
      </c>
      <c r="G109" s="390">
        <v>0</v>
      </c>
      <c r="H109" s="390">
        <v>0</v>
      </c>
      <c r="I109" s="390">
        <v>0</v>
      </c>
      <c r="J109" s="390">
        <v>0</v>
      </c>
      <c r="K109" s="390">
        <v>0</v>
      </c>
      <c r="L109" s="390">
        <v>0</v>
      </c>
      <c r="M109" s="390">
        <v>0</v>
      </c>
      <c r="N109" s="390">
        <v>0</v>
      </c>
      <c r="O109" s="390">
        <v>0</v>
      </c>
      <c r="P109" s="390">
        <v>0</v>
      </c>
      <c r="Q109" s="390">
        <v>0</v>
      </c>
      <c r="R109" s="391">
        <f>SUM(F109:Q109)</f>
        <v>0</v>
      </c>
      <c r="S109" s="392">
        <f>ROUND(R109*1.05,0)</f>
        <v>0</v>
      </c>
      <c r="T109" s="392">
        <f>ROUND(S109*1.05,0)</f>
        <v>0</v>
      </c>
    </row>
    <row r="110" spans="1:20" s="18" customFormat="1" x14ac:dyDescent="0.2">
      <c r="A110" s="324"/>
      <c r="B110" s="325"/>
      <c r="C110" s="18" t="s">
        <v>92</v>
      </c>
      <c r="D110" s="432">
        <f t="shared" ref="D110:Q110" si="27">SUM(D108:D109)</f>
        <v>30000</v>
      </c>
      <c r="E110" s="432">
        <f t="shared" si="27"/>
        <v>0</v>
      </c>
      <c r="F110" s="18">
        <f t="shared" si="27"/>
        <v>6333.333333333333</v>
      </c>
      <c r="G110" s="18">
        <f t="shared" si="27"/>
        <v>6333.333333333333</v>
      </c>
      <c r="H110" s="18">
        <f t="shared" si="27"/>
        <v>6333.333333333333</v>
      </c>
      <c r="I110" s="18">
        <f t="shared" si="27"/>
        <v>6333.333333333333</v>
      </c>
      <c r="J110" s="18">
        <f t="shared" si="27"/>
        <v>6333.333333333333</v>
      </c>
      <c r="K110" s="18">
        <f t="shared" si="27"/>
        <v>6333.333333333333</v>
      </c>
      <c r="L110" s="18">
        <f t="shared" si="27"/>
        <v>6333.333333333333</v>
      </c>
      <c r="M110" s="18">
        <f t="shared" si="27"/>
        <v>6333.333333333333</v>
      </c>
      <c r="N110" s="18">
        <f t="shared" si="27"/>
        <v>6333.333333333333</v>
      </c>
      <c r="O110" s="18">
        <f t="shared" si="27"/>
        <v>6333.333333333333</v>
      </c>
      <c r="P110" s="18">
        <f t="shared" si="27"/>
        <v>6333.333333333333</v>
      </c>
      <c r="Q110" s="18">
        <f t="shared" si="27"/>
        <v>6333.333333333333</v>
      </c>
      <c r="R110" s="248">
        <f>SUM(F110:Q110)</f>
        <v>76000</v>
      </c>
      <c r="S110" s="248">
        <f>SUM(S108:S109)</f>
        <v>78280</v>
      </c>
      <c r="T110" s="248">
        <f>SUM(T108:T109)</f>
        <v>82194</v>
      </c>
    </row>
    <row r="111" spans="1:20" x14ac:dyDescent="0.2">
      <c r="A111" s="247"/>
      <c r="B111" s="240">
        <v>52505000</v>
      </c>
      <c r="C111" t="s">
        <v>384</v>
      </c>
      <c r="D111" s="385"/>
      <c r="E111" s="385"/>
      <c r="F111" s="8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96"/>
      <c r="S111" s="196"/>
      <c r="T111" s="196"/>
    </row>
    <row r="112" spans="1:20" s="384" customFormat="1" x14ac:dyDescent="0.2">
      <c r="A112" s="382"/>
      <c r="B112" s="383"/>
      <c r="C112" s="384" t="s">
        <v>91</v>
      </c>
      <c r="D112" s="385">
        <v>0</v>
      </c>
      <c r="E112" s="385">
        <v>0</v>
      </c>
      <c r="F112" s="386">
        <v>0</v>
      </c>
      <c r="G112" s="386">
        <v>0</v>
      </c>
      <c r="H112" s="386">
        <v>0</v>
      </c>
      <c r="I112" s="386">
        <v>0</v>
      </c>
      <c r="J112" s="386">
        <v>0</v>
      </c>
      <c r="K112" s="386">
        <v>0</v>
      </c>
      <c r="L112" s="386">
        <v>0</v>
      </c>
      <c r="M112" s="386">
        <v>0</v>
      </c>
      <c r="N112" s="386">
        <v>0</v>
      </c>
      <c r="O112" s="386">
        <v>0</v>
      </c>
      <c r="P112" s="386">
        <v>0</v>
      </c>
      <c r="Q112" s="386">
        <v>0</v>
      </c>
      <c r="R112" s="387">
        <f>SUM(F112:Q112)</f>
        <v>0</v>
      </c>
      <c r="S112" s="388">
        <f>ROUND(R112*1.05,0)</f>
        <v>0</v>
      </c>
      <c r="T112" s="388">
        <f>ROUND(S112*1.05,0)</f>
        <v>0</v>
      </c>
    </row>
    <row r="113" spans="1:20" s="384" customFormat="1" x14ac:dyDescent="0.2">
      <c r="A113" s="382"/>
      <c r="B113" s="383"/>
      <c r="C113" s="384" t="s">
        <v>91</v>
      </c>
      <c r="D113" s="389">
        <v>0</v>
      </c>
      <c r="E113" s="389">
        <v>0</v>
      </c>
      <c r="F113" s="390">
        <v>0</v>
      </c>
      <c r="G113" s="390">
        <v>0</v>
      </c>
      <c r="H113" s="390">
        <v>0</v>
      </c>
      <c r="I113" s="390">
        <v>0</v>
      </c>
      <c r="J113" s="390">
        <v>0</v>
      </c>
      <c r="K113" s="390">
        <v>0</v>
      </c>
      <c r="L113" s="390">
        <v>0</v>
      </c>
      <c r="M113" s="390">
        <v>0</v>
      </c>
      <c r="N113" s="390">
        <v>0</v>
      </c>
      <c r="O113" s="390">
        <v>0</v>
      </c>
      <c r="P113" s="390">
        <v>0</v>
      </c>
      <c r="Q113" s="390">
        <v>0</v>
      </c>
      <c r="R113" s="391">
        <f>SUM(F113:Q113)</f>
        <v>0</v>
      </c>
      <c r="S113" s="392">
        <f>ROUND(R113*1.05,0)</f>
        <v>0</v>
      </c>
      <c r="T113" s="392">
        <f>ROUND(S113*1.05,0)</f>
        <v>0</v>
      </c>
    </row>
    <row r="114" spans="1:20" s="18" customFormat="1" ht="13.5" customHeight="1" x14ac:dyDescent="0.2">
      <c r="A114" s="324"/>
      <c r="B114" s="325"/>
      <c r="C114" s="18" t="s">
        <v>92</v>
      </c>
      <c r="D114" s="432">
        <f t="shared" ref="D114:Q114" si="28">SUM(D112:D113)</f>
        <v>0</v>
      </c>
      <c r="E114" s="432">
        <f t="shared" si="28"/>
        <v>0</v>
      </c>
      <c r="F114" s="18">
        <f t="shared" si="28"/>
        <v>0</v>
      </c>
      <c r="G114" s="18">
        <f t="shared" si="28"/>
        <v>0</v>
      </c>
      <c r="H114" s="18">
        <f t="shared" si="28"/>
        <v>0</v>
      </c>
      <c r="I114" s="18">
        <f t="shared" si="28"/>
        <v>0</v>
      </c>
      <c r="J114" s="18">
        <f t="shared" si="28"/>
        <v>0</v>
      </c>
      <c r="K114" s="18">
        <f t="shared" si="28"/>
        <v>0</v>
      </c>
      <c r="L114" s="18">
        <f t="shared" si="28"/>
        <v>0</v>
      </c>
      <c r="M114" s="18">
        <f t="shared" si="28"/>
        <v>0</v>
      </c>
      <c r="N114" s="18">
        <f t="shared" si="28"/>
        <v>0</v>
      </c>
      <c r="O114" s="18">
        <f t="shared" si="28"/>
        <v>0</v>
      </c>
      <c r="P114" s="18">
        <f t="shared" si="28"/>
        <v>0</v>
      </c>
      <c r="Q114" s="18">
        <f t="shared" si="28"/>
        <v>0</v>
      </c>
      <c r="R114" s="248">
        <f>SUM(F114:Q114)</f>
        <v>0</v>
      </c>
      <c r="S114" s="248">
        <f>SUM(S112:S113)</f>
        <v>0</v>
      </c>
      <c r="T114" s="248">
        <f>SUM(T112:T113)</f>
        <v>0</v>
      </c>
    </row>
    <row r="115" spans="1:20" x14ac:dyDescent="0.2">
      <c r="A115" s="247" t="s">
        <v>366</v>
      </c>
      <c r="B115" s="240">
        <v>52505500</v>
      </c>
      <c r="C115" t="s">
        <v>385</v>
      </c>
      <c r="D115" s="385"/>
      <c r="E115" s="385"/>
      <c r="F115" s="8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96"/>
      <c r="S115" s="196"/>
      <c r="T115" s="196"/>
    </row>
    <row r="116" spans="1:20" s="384" customFormat="1" x14ac:dyDescent="0.2">
      <c r="A116" s="382"/>
      <c r="B116" s="383"/>
      <c r="C116" s="384" t="s">
        <v>91</v>
      </c>
      <c r="D116" s="385">
        <v>0</v>
      </c>
      <c r="E116" s="385">
        <v>913</v>
      </c>
      <c r="F116" s="386">
        <v>0</v>
      </c>
      <c r="G116" s="386">
        <v>0</v>
      </c>
      <c r="H116" s="386">
        <v>0</v>
      </c>
      <c r="I116" s="386">
        <v>0</v>
      </c>
      <c r="J116" s="386">
        <v>0</v>
      </c>
      <c r="K116" s="386">
        <v>0</v>
      </c>
      <c r="L116" s="386">
        <v>0</v>
      </c>
      <c r="M116" s="386">
        <v>0</v>
      </c>
      <c r="N116" s="386">
        <v>0</v>
      </c>
      <c r="O116" s="386">
        <v>0</v>
      </c>
      <c r="P116" s="386">
        <v>0</v>
      </c>
      <c r="Q116" s="386">
        <v>0</v>
      </c>
      <c r="R116" s="387">
        <f>SUM(F116:Q116)</f>
        <v>0</v>
      </c>
      <c r="S116" s="388">
        <f>ROUND(R116*1.05,0)</f>
        <v>0</v>
      </c>
      <c r="T116" s="388">
        <f>ROUND(S116*1.05,0)</f>
        <v>0</v>
      </c>
    </row>
    <row r="117" spans="1:20" s="384" customFormat="1" x14ac:dyDescent="0.2">
      <c r="A117" s="382"/>
      <c r="B117" s="383"/>
      <c r="C117" s="384" t="s">
        <v>91</v>
      </c>
      <c r="D117" s="389">
        <v>0</v>
      </c>
      <c r="E117" s="389">
        <v>0</v>
      </c>
      <c r="F117" s="390">
        <v>0</v>
      </c>
      <c r="G117" s="390">
        <v>0</v>
      </c>
      <c r="H117" s="390">
        <v>0</v>
      </c>
      <c r="I117" s="390">
        <v>0</v>
      </c>
      <c r="J117" s="390">
        <v>0</v>
      </c>
      <c r="K117" s="390">
        <v>0</v>
      </c>
      <c r="L117" s="390">
        <v>0</v>
      </c>
      <c r="M117" s="390">
        <v>0</v>
      </c>
      <c r="N117" s="390">
        <v>0</v>
      </c>
      <c r="O117" s="390">
        <v>0</v>
      </c>
      <c r="P117" s="390">
        <v>0</v>
      </c>
      <c r="Q117" s="390">
        <v>0</v>
      </c>
      <c r="R117" s="391">
        <f>SUM(F117:Q117)</f>
        <v>0</v>
      </c>
      <c r="S117" s="392">
        <f>ROUND(R117*1.05,0)</f>
        <v>0</v>
      </c>
      <c r="T117" s="392">
        <f>ROUND(S117*1.05,0)</f>
        <v>0</v>
      </c>
    </row>
    <row r="118" spans="1:20" s="18" customFormat="1" ht="13.5" customHeight="1" x14ac:dyDescent="0.2">
      <c r="A118" s="324"/>
      <c r="B118" s="325"/>
      <c r="C118" s="18" t="s">
        <v>92</v>
      </c>
      <c r="D118" s="432">
        <f t="shared" ref="D118:Q118" si="29">SUM(D116:D117)</f>
        <v>0</v>
      </c>
      <c r="E118" s="432">
        <f t="shared" si="29"/>
        <v>913</v>
      </c>
      <c r="F118" s="18">
        <f t="shared" si="29"/>
        <v>0</v>
      </c>
      <c r="G118" s="18">
        <f t="shared" si="29"/>
        <v>0</v>
      </c>
      <c r="H118" s="18">
        <f t="shared" si="29"/>
        <v>0</v>
      </c>
      <c r="I118" s="18">
        <f t="shared" si="29"/>
        <v>0</v>
      </c>
      <c r="J118" s="18">
        <f t="shared" si="29"/>
        <v>0</v>
      </c>
      <c r="K118" s="18">
        <f t="shared" si="29"/>
        <v>0</v>
      </c>
      <c r="L118" s="18">
        <f t="shared" si="29"/>
        <v>0</v>
      </c>
      <c r="M118" s="18">
        <f t="shared" si="29"/>
        <v>0</v>
      </c>
      <c r="N118" s="18">
        <f t="shared" si="29"/>
        <v>0</v>
      </c>
      <c r="O118" s="18">
        <f t="shared" si="29"/>
        <v>0</v>
      </c>
      <c r="P118" s="18">
        <f t="shared" si="29"/>
        <v>0</v>
      </c>
      <c r="Q118" s="18">
        <f t="shared" si="29"/>
        <v>0</v>
      </c>
      <c r="R118" s="248">
        <f>SUM(F118:Q118)</f>
        <v>0</v>
      </c>
      <c r="S118" s="248">
        <f>SUM(S116:S117)</f>
        <v>0</v>
      </c>
      <c r="T118" s="248">
        <f>SUM(T116:T117)</f>
        <v>0</v>
      </c>
    </row>
    <row r="119" spans="1:20" x14ac:dyDescent="0.2">
      <c r="A119" s="323"/>
      <c r="B119" s="240">
        <v>52506000</v>
      </c>
      <c r="C119" t="s">
        <v>387</v>
      </c>
      <c r="D119" s="385"/>
      <c r="E119" s="385"/>
      <c r="F119" s="8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96"/>
      <c r="S119" s="196"/>
      <c r="T119" s="196"/>
    </row>
    <row r="120" spans="1:20" s="384" customFormat="1" x14ac:dyDescent="0.2">
      <c r="A120" s="382"/>
      <c r="B120" s="383"/>
      <c r="C120" s="384" t="s">
        <v>91</v>
      </c>
      <c r="D120" s="385">
        <v>0</v>
      </c>
      <c r="E120" s="385">
        <v>0</v>
      </c>
      <c r="F120" s="386">
        <v>0</v>
      </c>
      <c r="G120" s="386">
        <v>0</v>
      </c>
      <c r="H120" s="386">
        <v>0</v>
      </c>
      <c r="I120" s="386">
        <v>0</v>
      </c>
      <c r="J120" s="386">
        <v>0</v>
      </c>
      <c r="K120" s="386">
        <v>0</v>
      </c>
      <c r="L120" s="386">
        <v>0</v>
      </c>
      <c r="M120" s="386">
        <v>0</v>
      </c>
      <c r="N120" s="386">
        <v>0</v>
      </c>
      <c r="O120" s="386">
        <v>0</v>
      </c>
      <c r="P120" s="386">
        <v>0</v>
      </c>
      <c r="Q120" s="386">
        <v>0</v>
      </c>
      <c r="R120" s="387">
        <f>SUM(F120:Q120)</f>
        <v>0</v>
      </c>
      <c r="S120" s="388">
        <f>ROUND(R120*1.05,0)</f>
        <v>0</v>
      </c>
      <c r="T120" s="388">
        <f>ROUND(S120*1.05,0)</f>
        <v>0</v>
      </c>
    </row>
    <row r="121" spans="1:20" s="384" customFormat="1" x14ac:dyDescent="0.2">
      <c r="A121" s="382"/>
      <c r="B121" s="383"/>
      <c r="C121" s="384" t="s">
        <v>91</v>
      </c>
      <c r="D121" s="389">
        <v>0</v>
      </c>
      <c r="E121" s="389">
        <v>0</v>
      </c>
      <c r="F121" s="390">
        <v>0</v>
      </c>
      <c r="G121" s="390">
        <v>0</v>
      </c>
      <c r="H121" s="390">
        <v>0</v>
      </c>
      <c r="I121" s="390">
        <v>0</v>
      </c>
      <c r="J121" s="390">
        <v>0</v>
      </c>
      <c r="K121" s="390">
        <v>0</v>
      </c>
      <c r="L121" s="390">
        <v>0</v>
      </c>
      <c r="M121" s="390">
        <v>0</v>
      </c>
      <c r="N121" s="390">
        <v>0</v>
      </c>
      <c r="O121" s="390">
        <v>0</v>
      </c>
      <c r="P121" s="390">
        <v>0</v>
      </c>
      <c r="Q121" s="390">
        <v>0</v>
      </c>
      <c r="R121" s="391">
        <f>SUM(F121:Q121)</f>
        <v>0</v>
      </c>
      <c r="S121" s="392">
        <f>ROUND(R121*1.05,0)</f>
        <v>0</v>
      </c>
      <c r="T121" s="392">
        <f>ROUND(S121*1.05,0)</f>
        <v>0</v>
      </c>
    </row>
    <row r="122" spans="1:20" s="18" customFormat="1" ht="13.5" customHeight="1" x14ac:dyDescent="0.2">
      <c r="A122" s="324"/>
      <c r="B122" s="325"/>
      <c r="C122" s="18" t="s">
        <v>92</v>
      </c>
      <c r="D122" s="432">
        <f t="shared" ref="D122:Q122" si="30">SUM(D120:D121)</f>
        <v>0</v>
      </c>
      <c r="E122" s="432">
        <f t="shared" si="30"/>
        <v>0</v>
      </c>
      <c r="F122" s="18">
        <f t="shared" si="30"/>
        <v>0</v>
      </c>
      <c r="G122" s="18">
        <f t="shared" si="30"/>
        <v>0</v>
      </c>
      <c r="H122" s="18">
        <f t="shared" si="30"/>
        <v>0</v>
      </c>
      <c r="I122" s="18">
        <f t="shared" si="30"/>
        <v>0</v>
      </c>
      <c r="J122" s="18">
        <f t="shared" si="30"/>
        <v>0</v>
      </c>
      <c r="K122" s="18">
        <f t="shared" si="30"/>
        <v>0</v>
      </c>
      <c r="L122" s="18">
        <f t="shared" si="30"/>
        <v>0</v>
      </c>
      <c r="M122" s="18">
        <f t="shared" si="30"/>
        <v>0</v>
      </c>
      <c r="N122" s="18">
        <f t="shared" si="30"/>
        <v>0</v>
      </c>
      <c r="O122" s="18">
        <f t="shared" si="30"/>
        <v>0</v>
      </c>
      <c r="P122" s="18">
        <f t="shared" si="30"/>
        <v>0</v>
      </c>
      <c r="Q122" s="18">
        <f t="shared" si="30"/>
        <v>0</v>
      </c>
      <c r="R122" s="248">
        <f>SUM(F122:Q122)</f>
        <v>0</v>
      </c>
      <c r="S122" s="248">
        <f>SUM(S120:S121)</f>
        <v>0</v>
      </c>
      <c r="T122" s="248">
        <f>SUM(T120:T121)</f>
        <v>0</v>
      </c>
    </row>
    <row r="123" spans="1:20" x14ac:dyDescent="0.2">
      <c r="A123" s="323">
        <v>554</v>
      </c>
      <c r="B123" s="240">
        <v>52506500</v>
      </c>
      <c r="C123" t="s">
        <v>386</v>
      </c>
      <c r="D123" s="436"/>
      <c r="E123" s="436"/>
      <c r="F123" s="33"/>
      <c r="G123" s="33"/>
      <c r="H123" s="33"/>
      <c r="I123" s="33"/>
      <c r="J123" s="33"/>
      <c r="K123" s="33"/>
      <c r="L123" s="33"/>
      <c r="M123" s="33"/>
      <c r="N123" s="9"/>
      <c r="O123" s="9"/>
      <c r="P123" s="9"/>
      <c r="Q123" s="9"/>
      <c r="R123" s="196"/>
      <c r="S123" s="196"/>
      <c r="T123" s="196"/>
    </row>
    <row r="124" spans="1:20" s="384" customFormat="1" x14ac:dyDescent="0.2">
      <c r="A124" s="382"/>
      <c r="B124" s="383"/>
      <c r="C124" s="384" t="s">
        <v>91</v>
      </c>
      <c r="D124" s="385">
        <v>0</v>
      </c>
      <c r="E124" s="385">
        <v>0</v>
      </c>
      <c r="F124" s="386">
        <v>0</v>
      </c>
      <c r="G124" s="386">
        <v>0</v>
      </c>
      <c r="H124" s="386">
        <v>0</v>
      </c>
      <c r="I124" s="386">
        <v>0</v>
      </c>
      <c r="J124" s="386">
        <v>0</v>
      </c>
      <c r="K124" s="386">
        <v>0</v>
      </c>
      <c r="L124" s="386">
        <v>0</v>
      </c>
      <c r="M124" s="386">
        <v>0</v>
      </c>
      <c r="N124" s="386">
        <v>0</v>
      </c>
      <c r="O124" s="386">
        <v>0</v>
      </c>
      <c r="P124" s="386">
        <v>0</v>
      </c>
      <c r="Q124" s="386">
        <v>0</v>
      </c>
      <c r="R124" s="387">
        <f>SUM(F124:Q124)</f>
        <v>0</v>
      </c>
      <c r="S124" s="388">
        <f>ROUND(R124*1.05,0)</f>
        <v>0</v>
      </c>
      <c r="T124" s="388">
        <f>ROUND(S124*1.05,0)</f>
        <v>0</v>
      </c>
    </row>
    <row r="125" spans="1:20" s="384" customFormat="1" x14ac:dyDescent="0.2">
      <c r="A125" s="382"/>
      <c r="B125" s="383"/>
      <c r="C125" s="384" t="s">
        <v>91</v>
      </c>
      <c r="D125" s="389">
        <v>0</v>
      </c>
      <c r="E125" s="389">
        <v>0</v>
      </c>
      <c r="F125" s="390">
        <v>0</v>
      </c>
      <c r="G125" s="390">
        <v>0</v>
      </c>
      <c r="H125" s="390">
        <v>0</v>
      </c>
      <c r="I125" s="390">
        <v>0</v>
      </c>
      <c r="J125" s="390">
        <v>0</v>
      </c>
      <c r="K125" s="390">
        <v>0</v>
      </c>
      <c r="L125" s="390">
        <v>0</v>
      </c>
      <c r="M125" s="390">
        <v>0</v>
      </c>
      <c r="N125" s="390">
        <v>0</v>
      </c>
      <c r="O125" s="390">
        <v>0</v>
      </c>
      <c r="P125" s="390">
        <v>0</v>
      </c>
      <c r="Q125" s="390">
        <v>0</v>
      </c>
      <c r="R125" s="391">
        <f>SUM(F125:Q125)</f>
        <v>0</v>
      </c>
      <c r="S125" s="392">
        <f>ROUND(R125*1.05,0)</f>
        <v>0</v>
      </c>
      <c r="T125" s="392">
        <f>ROUND(S125*1.05,0)</f>
        <v>0</v>
      </c>
    </row>
    <row r="126" spans="1:20" s="18" customFormat="1" x14ac:dyDescent="0.2">
      <c r="A126" s="324"/>
      <c r="B126" s="325"/>
      <c r="C126" s="18" t="s">
        <v>92</v>
      </c>
      <c r="D126" s="432">
        <f t="shared" ref="D126:Q126" si="31">SUM(D124:D125)</f>
        <v>0</v>
      </c>
      <c r="E126" s="432">
        <f t="shared" si="31"/>
        <v>0</v>
      </c>
      <c r="F126" s="18">
        <f t="shared" si="31"/>
        <v>0</v>
      </c>
      <c r="G126" s="18">
        <f t="shared" si="31"/>
        <v>0</v>
      </c>
      <c r="H126" s="18">
        <f t="shared" si="31"/>
        <v>0</v>
      </c>
      <c r="I126" s="18">
        <f t="shared" si="31"/>
        <v>0</v>
      </c>
      <c r="J126" s="18">
        <f t="shared" si="31"/>
        <v>0</v>
      </c>
      <c r="K126" s="18">
        <f t="shared" si="31"/>
        <v>0</v>
      </c>
      <c r="L126" s="18">
        <f t="shared" si="31"/>
        <v>0</v>
      </c>
      <c r="M126" s="18">
        <f t="shared" si="31"/>
        <v>0</v>
      </c>
      <c r="N126" s="18">
        <f t="shared" si="31"/>
        <v>0</v>
      </c>
      <c r="O126" s="18">
        <f t="shared" si="31"/>
        <v>0</v>
      </c>
      <c r="P126" s="18">
        <f t="shared" si="31"/>
        <v>0</v>
      </c>
      <c r="Q126" s="18">
        <f t="shared" si="31"/>
        <v>0</v>
      </c>
      <c r="R126" s="248">
        <f>SUM(F126:Q126)</f>
        <v>0</v>
      </c>
      <c r="S126" s="248">
        <f>SUM(S124:S125)</f>
        <v>0</v>
      </c>
      <c r="T126" s="248">
        <f>SUM(T124:T125)</f>
        <v>0</v>
      </c>
    </row>
    <row r="127" spans="1:20" x14ac:dyDescent="0.2">
      <c r="A127" s="247" t="s">
        <v>425</v>
      </c>
      <c r="B127" s="240">
        <v>52507000</v>
      </c>
      <c r="C127" t="s">
        <v>102</v>
      </c>
      <c r="D127" s="385"/>
      <c r="E127" s="385"/>
      <c r="F127" s="8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96"/>
      <c r="S127" s="196"/>
      <c r="T127" s="196"/>
    </row>
    <row r="128" spans="1:20" s="384" customFormat="1" x14ac:dyDescent="0.2">
      <c r="A128" s="382"/>
      <c r="B128" s="383"/>
      <c r="C128" s="384" t="s">
        <v>91</v>
      </c>
      <c r="D128" s="385">
        <v>3000</v>
      </c>
      <c r="E128" s="385">
        <v>5770</v>
      </c>
      <c r="F128" s="386">
        <f>3090/12</f>
        <v>257.5</v>
      </c>
      <c r="G128" s="386">
        <v>257.5</v>
      </c>
      <c r="H128" s="386">
        <v>257.5</v>
      </c>
      <c r="I128" s="386">
        <v>257.5</v>
      </c>
      <c r="J128" s="386">
        <v>257.5</v>
      </c>
      <c r="K128" s="386">
        <v>257.5</v>
      </c>
      <c r="L128" s="386">
        <v>257.5</v>
      </c>
      <c r="M128" s="386">
        <v>257.5</v>
      </c>
      <c r="N128" s="386">
        <v>257.5</v>
      </c>
      <c r="O128" s="386">
        <v>257.5</v>
      </c>
      <c r="P128" s="386">
        <v>257.5</v>
      </c>
      <c r="Q128" s="386">
        <v>257.5</v>
      </c>
      <c r="R128" s="387">
        <f>SUM(F128:Q128)</f>
        <v>3090</v>
      </c>
      <c r="S128" s="388">
        <v>3183</v>
      </c>
      <c r="T128" s="388">
        <f>ROUND(S128*1.05,0)</f>
        <v>3342</v>
      </c>
    </row>
    <row r="129" spans="1:20" s="384" customFormat="1" x14ac:dyDescent="0.2">
      <c r="A129" s="382"/>
      <c r="B129" s="383"/>
      <c r="C129" s="384" t="s">
        <v>91</v>
      </c>
      <c r="D129" s="389">
        <v>0</v>
      </c>
      <c r="E129" s="389">
        <v>0</v>
      </c>
      <c r="F129" s="390">
        <v>0</v>
      </c>
      <c r="G129" s="390">
        <v>0</v>
      </c>
      <c r="H129" s="390">
        <v>0</v>
      </c>
      <c r="I129" s="390">
        <v>0</v>
      </c>
      <c r="J129" s="390">
        <v>0</v>
      </c>
      <c r="K129" s="390">
        <v>0</v>
      </c>
      <c r="L129" s="390">
        <v>0</v>
      </c>
      <c r="M129" s="390">
        <v>0</v>
      </c>
      <c r="N129" s="390">
        <v>0</v>
      </c>
      <c r="O129" s="390">
        <v>0</v>
      </c>
      <c r="P129" s="390">
        <v>0</v>
      </c>
      <c r="Q129" s="390">
        <v>0</v>
      </c>
      <c r="R129" s="391">
        <f>SUM(F129:Q129)</f>
        <v>0</v>
      </c>
      <c r="S129" s="392">
        <f>ROUND(R129*1.05,0)</f>
        <v>0</v>
      </c>
      <c r="T129" s="392">
        <f>ROUND(S129*1.05,0)</f>
        <v>0</v>
      </c>
    </row>
    <row r="130" spans="1:20" s="18" customFormat="1" x14ac:dyDescent="0.2">
      <c r="A130" s="324"/>
      <c r="B130" s="325"/>
      <c r="C130" s="18" t="s">
        <v>92</v>
      </c>
      <c r="D130" s="432">
        <f t="shared" ref="D130:Q130" si="32">SUM(D128:D129)</f>
        <v>3000</v>
      </c>
      <c r="E130" s="432">
        <f t="shared" si="32"/>
        <v>5770</v>
      </c>
      <c r="F130" s="18">
        <f t="shared" si="32"/>
        <v>257.5</v>
      </c>
      <c r="G130" s="18">
        <f t="shared" si="32"/>
        <v>257.5</v>
      </c>
      <c r="H130" s="18">
        <f t="shared" si="32"/>
        <v>257.5</v>
      </c>
      <c r="I130" s="18">
        <f t="shared" si="32"/>
        <v>257.5</v>
      </c>
      <c r="J130" s="18">
        <f t="shared" si="32"/>
        <v>257.5</v>
      </c>
      <c r="K130" s="18">
        <f t="shared" si="32"/>
        <v>257.5</v>
      </c>
      <c r="L130" s="18">
        <f t="shared" si="32"/>
        <v>257.5</v>
      </c>
      <c r="M130" s="18">
        <f t="shared" si="32"/>
        <v>257.5</v>
      </c>
      <c r="N130" s="18">
        <f t="shared" si="32"/>
        <v>257.5</v>
      </c>
      <c r="O130" s="18">
        <f t="shared" si="32"/>
        <v>257.5</v>
      </c>
      <c r="P130" s="18">
        <f t="shared" si="32"/>
        <v>257.5</v>
      </c>
      <c r="Q130" s="18">
        <f t="shared" si="32"/>
        <v>257.5</v>
      </c>
      <c r="R130" s="248">
        <f>SUM(F130:Q130)</f>
        <v>3090</v>
      </c>
      <c r="S130" s="248">
        <f>SUM(S128:S129)</f>
        <v>3183</v>
      </c>
      <c r="T130" s="248">
        <f>SUM(T128:T129)</f>
        <v>3342</v>
      </c>
    </row>
    <row r="131" spans="1:20" x14ac:dyDescent="0.2">
      <c r="A131" s="16">
        <v>203</v>
      </c>
      <c r="B131" s="240">
        <v>52507100</v>
      </c>
      <c r="C131" t="s">
        <v>101</v>
      </c>
      <c r="D131" s="385"/>
      <c r="E131" s="385"/>
      <c r="F131" s="8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96"/>
      <c r="S131" s="196"/>
      <c r="T131" s="196"/>
    </row>
    <row r="132" spans="1:20" s="384" customFormat="1" x14ac:dyDescent="0.2">
      <c r="A132" s="382"/>
      <c r="B132" s="383"/>
      <c r="C132" s="384" t="s">
        <v>91</v>
      </c>
      <c r="D132" s="385">
        <v>0</v>
      </c>
      <c r="E132" s="385">
        <v>0</v>
      </c>
      <c r="F132" s="386">
        <v>0</v>
      </c>
      <c r="G132" s="386">
        <v>0</v>
      </c>
      <c r="H132" s="386">
        <v>0</v>
      </c>
      <c r="I132" s="386">
        <v>0</v>
      </c>
      <c r="J132" s="386">
        <v>0</v>
      </c>
      <c r="K132" s="386">
        <v>0</v>
      </c>
      <c r="L132" s="386">
        <v>0</v>
      </c>
      <c r="M132" s="386">
        <v>0</v>
      </c>
      <c r="N132" s="386">
        <v>0</v>
      </c>
      <c r="O132" s="386">
        <v>0</v>
      </c>
      <c r="P132" s="386">
        <v>0</v>
      </c>
      <c r="Q132" s="386">
        <v>0</v>
      </c>
      <c r="R132" s="387">
        <f>SUM(F132:Q132)</f>
        <v>0</v>
      </c>
      <c r="S132" s="388">
        <f>ROUND(R132*1.05,0)</f>
        <v>0</v>
      </c>
      <c r="T132" s="388">
        <f>ROUND(S132*1.05,0)</f>
        <v>0</v>
      </c>
    </row>
    <row r="133" spans="1:20" s="384" customFormat="1" x14ac:dyDescent="0.2">
      <c r="A133" s="382"/>
      <c r="B133" s="383"/>
      <c r="C133" s="384" t="s">
        <v>91</v>
      </c>
      <c r="D133" s="389">
        <v>0</v>
      </c>
      <c r="E133" s="389">
        <v>0</v>
      </c>
      <c r="F133" s="390">
        <v>0</v>
      </c>
      <c r="G133" s="390">
        <v>0</v>
      </c>
      <c r="H133" s="390">
        <v>0</v>
      </c>
      <c r="I133" s="390">
        <v>0</v>
      </c>
      <c r="J133" s="390">
        <v>0</v>
      </c>
      <c r="K133" s="390">
        <v>0</v>
      </c>
      <c r="L133" s="390">
        <v>0</v>
      </c>
      <c r="M133" s="390">
        <v>0</v>
      </c>
      <c r="N133" s="390">
        <v>0</v>
      </c>
      <c r="O133" s="390">
        <v>0</v>
      </c>
      <c r="P133" s="390">
        <v>0</v>
      </c>
      <c r="Q133" s="390">
        <v>0</v>
      </c>
      <c r="R133" s="391">
        <f>SUM(F133:Q133)</f>
        <v>0</v>
      </c>
      <c r="S133" s="392">
        <f>ROUND(R133*1.05,0)</f>
        <v>0</v>
      </c>
      <c r="T133" s="392">
        <f>ROUND(S133*1.05,0)</f>
        <v>0</v>
      </c>
    </row>
    <row r="134" spans="1:20" s="18" customFormat="1" x14ac:dyDescent="0.2">
      <c r="A134" s="324"/>
      <c r="B134" s="325"/>
      <c r="C134" s="18" t="s">
        <v>92</v>
      </c>
      <c r="D134" s="432">
        <f t="shared" ref="D134:Q134" si="33">SUM(D132:D133)</f>
        <v>0</v>
      </c>
      <c r="E134" s="432">
        <f t="shared" si="33"/>
        <v>0</v>
      </c>
      <c r="F134" s="18">
        <f t="shared" si="33"/>
        <v>0</v>
      </c>
      <c r="G134" s="18">
        <f t="shared" si="33"/>
        <v>0</v>
      </c>
      <c r="H134" s="18">
        <f t="shared" si="33"/>
        <v>0</v>
      </c>
      <c r="I134" s="18">
        <f t="shared" si="33"/>
        <v>0</v>
      </c>
      <c r="J134" s="18">
        <f t="shared" si="33"/>
        <v>0</v>
      </c>
      <c r="K134" s="18">
        <f t="shared" si="33"/>
        <v>0</v>
      </c>
      <c r="L134" s="18">
        <f t="shared" si="33"/>
        <v>0</v>
      </c>
      <c r="M134" s="18">
        <f t="shared" si="33"/>
        <v>0</v>
      </c>
      <c r="N134" s="18">
        <f t="shared" si="33"/>
        <v>0</v>
      </c>
      <c r="O134" s="18">
        <f t="shared" si="33"/>
        <v>0</v>
      </c>
      <c r="P134" s="18">
        <f t="shared" si="33"/>
        <v>0</v>
      </c>
      <c r="Q134" s="18">
        <f t="shared" si="33"/>
        <v>0</v>
      </c>
      <c r="R134" s="248">
        <f>SUM(F134:Q134)</f>
        <v>0</v>
      </c>
      <c r="S134" s="248">
        <f>SUM(S132:S133)</f>
        <v>0</v>
      </c>
      <c r="T134" s="248">
        <f>SUM(T132:T133)</f>
        <v>0</v>
      </c>
    </row>
    <row r="135" spans="1:20" x14ac:dyDescent="0.2">
      <c r="A135" s="247" t="s">
        <v>426</v>
      </c>
      <c r="B135" s="240">
        <v>52507500</v>
      </c>
      <c r="C135" t="s">
        <v>103</v>
      </c>
      <c r="D135" s="385"/>
      <c r="E135" s="385"/>
      <c r="F135" s="8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96"/>
      <c r="S135" s="196"/>
      <c r="T135" s="196"/>
    </row>
    <row r="136" spans="1:20" s="384" customFormat="1" x14ac:dyDescent="0.2">
      <c r="A136" s="382"/>
      <c r="B136" s="383"/>
      <c r="C136" s="384" t="s">
        <v>91</v>
      </c>
      <c r="D136" s="385">
        <v>60000</v>
      </c>
      <c r="E136" s="385">
        <v>21404</v>
      </c>
      <c r="F136" s="386">
        <f>75800/12</f>
        <v>6316.666666666667</v>
      </c>
      <c r="G136" s="386">
        <v>6316.666666666667</v>
      </c>
      <c r="H136" s="386">
        <v>6316.666666666667</v>
      </c>
      <c r="I136" s="386">
        <v>6316.666666666667</v>
      </c>
      <c r="J136" s="386">
        <v>6316.666666666667</v>
      </c>
      <c r="K136" s="386">
        <v>6316.666666666667</v>
      </c>
      <c r="L136" s="386">
        <v>6316.666666666667</v>
      </c>
      <c r="M136" s="386">
        <v>6316.666666666667</v>
      </c>
      <c r="N136" s="386">
        <v>6316.666666666667</v>
      </c>
      <c r="O136" s="386">
        <v>6316.666666666667</v>
      </c>
      <c r="P136" s="386">
        <v>6316.666666666667</v>
      </c>
      <c r="Q136" s="386">
        <v>6316.666666666667</v>
      </c>
      <c r="R136" s="387">
        <f>SUM(F136:Q136)</f>
        <v>75800</v>
      </c>
      <c r="S136" s="388">
        <v>78074</v>
      </c>
      <c r="T136" s="388">
        <f>ROUND(S136*1.05,0)</f>
        <v>81978</v>
      </c>
    </row>
    <row r="137" spans="1:20" s="384" customFormat="1" x14ac:dyDescent="0.2">
      <c r="A137" s="382"/>
      <c r="B137" s="383"/>
      <c r="C137" s="384" t="s">
        <v>91</v>
      </c>
      <c r="D137" s="389">
        <v>5004</v>
      </c>
      <c r="E137" s="389">
        <v>669</v>
      </c>
      <c r="F137" s="390">
        <v>0</v>
      </c>
      <c r="G137" s="390">
        <v>0</v>
      </c>
      <c r="H137" s="390">
        <v>0</v>
      </c>
      <c r="I137" s="390">
        <v>0</v>
      </c>
      <c r="J137" s="390">
        <v>0</v>
      </c>
      <c r="K137" s="390">
        <v>0</v>
      </c>
      <c r="L137" s="390">
        <v>0</v>
      </c>
      <c r="M137" s="390">
        <v>0</v>
      </c>
      <c r="N137" s="390">
        <v>0</v>
      </c>
      <c r="O137" s="390">
        <v>0</v>
      </c>
      <c r="P137" s="390">
        <v>0</v>
      </c>
      <c r="Q137" s="390">
        <v>0</v>
      </c>
      <c r="R137" s="391">
        <f>SUM(F137:Q137)</f>
        <v>0</v>
      </c>
      <c r="S137" s="392">
        <f>ROUND(R137*1.05,0)</f>
        <v>0</v>
      </c>
      <c r="T137" s="392">
        <f>ROUND(S137*1.05,0)</f>
        <v>0</v>
      </c>
    </row>
    <row r="138" spans="1:20" s="18" customFormat="1" x14ac:dyDescent="0.2">
      <c r="A138" s="324"/>
      <c r="B138" s="325"/>
      <c r="C138" s="18" t="s">
        <v>92</v>
      </c>
      <c r="D138" s="432">
        <f t="shared" ref="D138:Q138" si="34">SUM(D136:D137)</f>
        <v>65004</v>
      </c>
      <c r="E138" s="432">
        <f t="shared" si="34"/>
        <v>22073</v>
      </c>
      <c r="F138" s="18">
        <f t="shared" si="34"/>
        <v>6316.666666666667</v>
      </c>
      <c r="G138" s="18">
        <f t="shared" si="34"/>
        <v>6316.666666666667</v>
      </c>
      <c r="H138" s="18">
        <f t="shared" si="34"/>
        <v>6316.666666666667</v>
      </c>
      <c r="I138" s="18">
        <f t="shared" si="34"/>
        <v>6316.666666666667</v>
      </c>
      <c r="J138" s="18">
        <f t="shared" si="34"/>
        <v>6316.666666666667</v>
      </c>
      <c r="K138" s="18">
        <f t="shared" si="34"/>
        <v>6316.666666666667</v>
      </c>
      <c r="L138" s="18">
        <f t="shared" si="34"/>
        <v>6316.666666666667</v>
      </c>
      <c r="M138" s="18">
        <f t="shared" si="34"/>
        <v>6316.666666666667</v>
      </c>
      <c r="N138" s="18">
        <f t="shared" si="34"/>
        <v>6316.666666666667</v>
      </c>
      <c r="O138" s="18">
        <f t="shared" si="34"/>
        <v>6316.666666666667</v>
      </c>
      <c r="P138" s="18">
        <f t="shared" si="34"/>
        <v>6316.666666666667</v>
      </c>
      <c r="Q138" s="18">
        <f t="shared" si="34"/>
        <v>6316.666666666667</v>
      </c>
      <c r="R138" s="248">
        <f>SUM(F138:Q138)</f>
        <v>75800</v>
      </c>
      <c r="S138" s="248">
        <f>SUM(S136:S137)</f>
        <v>78074</v>
      </c>
      <c r="T138" s="248">
        <f>SUM(T136:T137)</f>
        <v>81978</v>
      </c>
    </row>
    <row r="139" spans="1:20" x14ac:dyDescent="0.2">
      <c r="A139" s="247" t="s">
        <v>427</v>
      </c>
      <c r="B139" s="240">
        <v>52508000</v>
      </c>
      <c r="C139" t="s">
        <v>483</v>
      </c>
      <c r="D139" s="385"/>
      <c r="E139" s="385"/>
      <c r="F139" s="8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96"/>
      <c r="S139" s="196"/>
      <c r="T139" s="196"/>
    </row>
    <row r="140" spans="1:20" s="384" customFormat="1" x14ac:dyDescent="0.2">
      <c r="A140" s="382"/>
      <c r="B140" s="383"/>
      <c r="C140" s="384" t="s">
        <v>91</v>
      </c>
      <c r="D140" s="385">
        <v>50004</v>
      </c>
      <c r="E140" s="385">
        <v>44261</v>
      </c>
      <c r="F140" s="386">
        <f>120000/12</f>
        <v>10000</v>
      </c>
      <c r="G140" s="386">
        <v>10000</v>
      </c>
      <c r="H140" s="386">
        <v>10000</v>
      </c>
      <c r="I140" s="386">
        <v>10000</v>
      </c>
      <c r="J140" s="386">
        <v>10000</v>
      </c>
      <c r="K140" s="386">
        <v>10000</v>
      </c>
      <c r="L140" s="386">
        <v>10000</v>
      </c>
      <c r="M140" s="386">
        <v>10000</v>
      </c>
      <c r="N140" s="386">
        <v>10000</v>
      </c>
      <c r="O140" s="386">
        <v>10000</v>
      </c>
      <c r="P140" s="386">
        <v>10000</v>
      </c>
      <c r="Q140" s="386">
        <v>10000</v>
      </c>
      <c r="R140" s="387">
        <f>SUM(F140:Q140)</f>
        <v>120000</v>
      </c>
      <c r="S140" s="388">
        <v>123600</v>
      </c>
      <c r="T140" s="388">
        <f>ROUND(S140*1.05,0)</f>
        <v>129780</v>
      </c>
    </row>
    <row r="141" spans="1:20" s="384" customFormat="1" x14ac:dyDescent="0.2">
      <c r="A141" s="382"/>
      <c r="B141" s="383"/>
      <c r="C141" s="384" t="s">
        <v>91</v>
      </c>
      <c r="D141" s="389">
        <v>0</v>
      </c>
      <c r="E141" s="389">
        <v>0</v>
      </c>
      <c r="F141" s="390">
        <v>0</v>
      </c>
      <c r="G141" s="390">
        <v>0</v>
      </c>
      <c r="H141" s="390">
        <v>0</v>
      </c>
      <c r="I141" s="390">
        <v>0</v>
      </c>
      <c r="J141" s="390">
        <v>0</v>
      </c>
      <c r="K141" s="390">
        <v>0</v>
      </c>
      <c r="L141" s="390">
        <v>0</v>
      </c>
      <c r="M141" s="390">
        <v>0</v>
      </c>
      <c r="N141" s="390">
        <v>0</v>
      </c>
      <c r="O141" s="390">
        <v>0</v>
      </c>
      <c r="P141" s="390">
        <v>0</v>
      </c>
      <c r="Q141" s="390">
        <v>0</v>
      </c>
      <c r="R141" s="391">
        <f>SUM(F141:Q141)</f>
        <v>0</v>
      </c>
      <c r="S141" s="392">
        <f>ROUND(R141*1.05,0)</f>
        <v>0</v>
      </c>
      <c r="T141" s="392">
        <f>ROUND(S141*1.05,0)</f>
        <v>0</v>
      </c>
    </row>
    <row r="142" spans="1:20" s="18" customFormat="1" ht="13.5" customHeight="1" x14ac:dyDescent="0.2">
      <c r="A142" s="324"/>
      <c r="B142" s="325"/>
      <c r="C142" s="18" t="s">
        <v>92</v>
      </c>
      <c r="D142" s="432">
        <f t="shared" ref="D142:Q142" si="35">SUM(D140:D141)</f>
        <v>50004</v>
      </c>
      <c r="E142" s="432">
        <f t="shared" si="35"/>
        <v>44261</v>
      </c>
      <c r="F142" s="18">
        <f t="shared" si="35"/>
        <v>10000</v>
      </c>
      <c r="G142" s="18">
        <f t="shared" si="35"/>
        <v>10000</v>
      </c>
      <c r="H142" s="18">
        <f t="shared" si="35"/>
        <v>10000</v>
      </c>
      <c r="I142" s="18">
        <f t="shared" si="35"/>
        <v>10000</v>
      </c>
      <c r="J142" s="18">
        <f t="shared" si="35"/>
        <v>10000</v>
      </c>
      <c r="K142" s="18">
        <f t="shared" si="35"/>
        <v>10000</v>
      </c>
      <c r="L142" s="18">
        <f t="shared" si="35"/>
        <v>10000</v>
      </c>
      <c r="M142" s="18">
        <f t="shared" si="35"/>
        <v>10000</v>
      </c>
      <c r="N142" s="18">
        <f t="shared" si="35"/>
        <v>10000</v>
      </c>
      <c r="O142" s="18">
        <f t="shared" si="35"/>
        <v>10000</v>
      </c>
      <c r="P142" s="18">
        <f t="shared" si="35"/>
        <v>10000</v>
      </c>
      <c r="Q142" s="18">
        <f t="shared" si="35"/>
        <v>10000</v>
      </c>
      <c r="R142" s="248">
        <f>SUM(F142:Q142)</f>
        <v>120000</v>
      </c>
      <c r="S142" s="248">
        <f>SUM(S140:S141)</f>
        <v>123600</v>
      </c>
      <c r="T142" s="248">
        <f>SUM(T140:T141)</f>
        <v>129780</v>
      </c>
    </row>
    <row r="143" spans="1:20" x14ac:dyDescent="0.2">
      <c r="A143" s="16">
        <v>160</v>
      </c>
      <c r="B143" s="240">
        <v>52508100</v>
      </c>
      <c r="C143" t="s">
        <v>389</v>
      </c>
      <c r="D143" s="385"/>
      <c r="E143" s="385"/>
      <c r="F143" s="8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96"/>
      <c r="S143" s="196"/>
      <c r="T143" s="196"/>
    </row>
    <row r="144" spans="1:20" s="384" customFormat="1" x14ac:dyDescent="0.2">
      <c r="A144" s="382"/>
      <c r="B144" s="383"/>
      <c r="C144" s="384" t="s">
        <v>91</v>
      </c>
      <c r="D144" s="385">
        <v>0</v>
      </c>
      <c r="E144" s="385">
        <v>604</v>
      </c>
      <c r="F144" s="386">
        <v>0</v>
      </c>
      <c r="G144" s="386">
        <v>0</v>
      </c>
      <c r="H144" s="386">
        <v>0</v>
      </c>
      <c r="I144" s="386">
        <v>0</v>
      </c>
      <c r="J144" s="386">
        <v>0</v>
      </c>
      <c r="K144" s="386">
        <v>0</v>
      </c>
      <c r="L144" s="386">
        <v>0</v>
      </c>
      <c r="M144" s="386">
        <v>0</v>
      </c>
      <c r="N144" s="386">
        <v>0</v>
      </c>
      <c r="O144" s="386">
        <v>0</v>
      </c>
      <c r="P144" s="386">
        <v>0</v>
      </c>
      <c r="Q144" s="386">
        <v>0</v>
      </c>
      <c r="R144" s="387">
        <f>SUM(F144:Q144)</f>
        <v>0</v>
      </c>
      <c r="S144" s="388">
        <f>ROUND(R144*1.05,0)</f>
        <v>0</v>
      </c>
      <c r="T144" s="388">
        <f>ROUND(S144*1.05,0)</f>
        <v>0</v>
      </c>
    </row>
    <row r="145" spans="1:20" s="384" customFormat="1" x14ac:dyDescent="0.2">
      <c r="A145" s="382"/>
      <c r="B145" s="383"/>
      <c r="C145" s="384" t="s">
        <v>91</v>
      </c>
      <c r="D145" s="389">
        <v>0</v>
      </c>
      <c r="E145" s="389">
        <v>0</v>
      </c>
      <c r="F145" s="390">
        <v>0</v>
      </c>
      <c r="G145" s="390">
        <v>0</v>
      </c>
      <c r="H145" s="390">
        <v>0</v>
      </c>
      <c r="I145" s="390">
        <v>0</v>
      </c>
      <c r="J145" s="390">
        <v>0</v>
      </c>
      <c r="K145" s="390">
        <v>0</v>
      </c>
      <c r="L145" s="390">
        <v>0</v>
      </c>
      <c r="M145" s="390">
        <v>0</v>
      </c>
      <c r="N145" s="390">
        <v>0</v>
      </c>
      <c r="O145" s="390">
        <v>0</v>
      </c>
      <c r="P145" s="390">
        <v>0</v>
      </c>
      <c r="Q145" s="390">
        <v>0</v>
      </c>
      <c r="R145" s="391">
        <f>SUM(F145:Q145)</f>
        <v>0</v>
      </c>
      <c r="S145" s="392">
        <f>ROUND(R145*1.05,0)</f>
        <v>0</v>
      </c>
      <c r="T145" s="392">
        <f>ROUND(S145*1.05,0)</f>
        <v>0</v>
      </c>
    </row>
    <row r="146" spans="1:20" s="18" customFormat="1" ht="13.5" customHeight="1" x14ac:dyDescent="0.2">
      <c r="A146" s="324"/>
      <c r="B146" s="325"/>
      <c r="C146" s="18" t="s">
        <v>92</v>
      </c>
      <c r="D146" s="432">
        <f t="shared" ref="D146:Q146" si="36">SUM(D144:D145)</f>
        <v>0</v>
      </c>
      <c r="E146" s="432">
        <f t="shared" si="36"/>
        <v>604</v>
      </c>
      <c r="F146" s="18">
        <f t="shared" si="36"/>
        <v>0</v>
      </c>
      <c r="G146" s="18">
        <f t="shared" si="36"/>
        <v>0</v>
      </c>
      <c r="H146" s="18">
        <f t="shared" si="36"/>
        <v>0</v>
      </c>
      <c r="I146" s="18">
        <f t="shared" si="36"/>
        <v>0</v>
      </c>
      <c r="J146" s="18">
        <f t="shared" si="36"/>
        <v>0</v>
      </c>
      <c r="K146" s="18">
        <f t="shared" si="36"/>
        <v>0</v>
      </c>
      <c r="L146" s="18">
        <f t="shared" si="36"/>
        <v>0</v>
      </c>
      <c r="M146" s="18">
        <f t="shared" si="36"/>
        <v>0</v>
      </c>
      <c r="N146" s="18">
        <f t="shared" si="36"/>
        <v>0</v>
      </c>
      <c r="O146" s="18">
        <f t="shared" si="36"/>
        <v>0</v>
      </c>
      <c r="P146" s="18">
        <f t="shared" si="36"/>
        <v>0</v>
      </c>
      <c r="Q146" s="18">
        <f t="shared" si="36"/>
        <v>0</v>
      </c>
      <c r="R146" s="248">
        <f>SUM(F146:Q146)</f>
        <v>0</v>
      </c>
      <c r="S146" s="248">
        <f>SUM(S144:S145)</f>
        <v>0</v>
      </c>
      <c r="T146" s="248">
        <f>SUM(T144:T145)</f>
        <v>0</v>
      </c>
    </row>
    <row r="147" spans="1:20" x14ac:dyDescent="0.2">
      <c r="A147" s="247">
        <v>153</v>
      </c>
      <c r="B147" s="240">
        <v>52508500</v>
      </c>
      <c r="C147" t="s">
        <v>390</v>
      </c>
      <c r="D147" s="385"/>
      <c r="E147" s="385"/>
      <c r="F147" s="8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96"/>
      <c r="S147" s="196"/>
      <c r="T147" s="196"/>
    </row>
    <row r="148" spans="1:20" s="384" customFormat="1" x14ac:dyDescent="0.2">
      <c r="A148" s="382"/>
      <c r="B148" s="383"/>
      <c r="C148" s="384" t="s">
        <v>91</v>
      </c>
      <c r="D148" s="385">
        <v>51996</v>
      </c>
      <c r="E148" s="385">
        <v>93035</v>
      </c>
      <c r="F148" s="386">
        <v>0</v>
      </c>
      <c r="G148" s="386">
        <v>0</v>
      </c>
      <c r="H148" s="386">
        <v>0</v>
      </c>
      <c r="I148" s="386">
        <v>0</v>
      </c>
      <c r="J148" s="386">
        <v>0</v>
      </c>
      <c r="K148" s="386">
        <v>0</v>
      </c>
      <c r="L148" s="386">
        <v>0</v>
      </c>
      <c r="M148" s="386">
        <v>0</v>
      </c>
      <c r="N148" s="386">
        <v>0</v>
      </c>
      <c r="O148" s="386">
        <v>0</v>
      </c>
      <c r="P148" s="386">
        <v>0</v>
      </c>
      <c r="Q148" s="386">
        <v>0</v>
      </c>
      <c r="R148" s="387">
        <f>SUM(F148:Q148)</f>
        <v>0</v>
      </c>
      <c r="S148" s="388">
        <f>ROUND(R148*1.05,0)</f>
        <v>0</v>
      </c>
      <c r="T148" s="388">
        <f>ROUND(S148*1.05,0)</f>
        <v>0</v>
      </c>
    </row>
    <row r="149" spans="1:20" s="384" customFormat="1" x14ac:dyDescent="0.2">
      <c r="A149" s="382"/>
      <c r="B149" s="383"/>
      <c r="C149" s="384" t="s">
        <v>91</v>
      </c>
      <c r="D149" s="389">
        <v>2004</v>
      </c>
      <c r="E149" s="389">
        <v>0</v>
      </c>
      <c r="F149" s="390">
        <v>0</v>
      </c>
      <c r="G149" s="390">
        <v>0</v>
      </c>
      <c r="H149" s="390">
        <v>0</v>
      </c>
      <c r="I149" s="390">
        <v>0</v>
      </c>
      <c r="J149" s="390">
        <v>0</v>
      </c>
      <c r="K149" s="390">
        <v>0</v>
      </c>
      <c r="L149" s="390">
        <v>0</v>
      </c>
      <c r="M149" s="390">
        <v>0</v>
      </c>
      <c r="N149" s="390">
        <v>0</v>
      </c>
      <c r="O149" s="390">
        <v>0</v>
      </c>
      <c r="P149" s="390">
        <v>0</v>
      </c>
      <c r="Q149" s="390">
        <v>0</v>
      </c>
      <c r="R149" s="391">
        <f>SUM(F149:Q149)</f>
        <v>0</v>
      </c>
      <c r="S149" s="392">
        <f>ROUND(R149*1.05,0)</f>
        <v>0</v>
      </c>
      <c r="T149" s="392">
        <f>ROUND(S149*1.05,0)</f>
        <v>0</v>
      </c>
    </row>
    <row r="150" spans="1:20" s="18" customFormat="1" ht="13.5" customHeight="1" x14ac:dyDescent="0.2">
      <c r="A150" s="324"/>
      <c r="B150" s="325"/>
      <c r="C150" s="18" t="s">
        <v>92</v>
      </c>
      <c r="D150" s="432">
        <f t="shared" ref="D150:Q150" si="37">SUM(D148:D149)</f>
        <v>54000</v>
      </c>
      <c r="E150" s="432">
        <f t="shared" si="37"/>
        <v>93035</v>
      </c>
      <c r="F150" s="18">
        <f t="shared" si="37"/>
        <v>0</v>
      </c>
      <c r="G150" s="18">
        <f t="shared" si="37"/>
        <v>0</v>
      </c>
      <c r="H150" s="18">
        <f t="shared" si="37"/>
        <v>0</v>
      </c>
      <c r="I150" s="18">
        <f t="shared" si="37"/>
        <v>0</v>
      </c>
      <c r="J150" s="18">
        <f t="shared" si="37"/>
        <v>0</v>
      </c>
      <c r="K150" s="18">
        <f t="shared" si="37"/>
        <v>0</v>
      </c>
      <c r="L150" s="18">
        <f t="shared" si="37"/>
        <v>0</v>
      </c>
      <c r="M150" s="18">
        <f t="shared" si="37"/>
        <v>0</v>
      </c>
      <c r="N150" s="18">
        <f t="shared" si="37"/>
        <v>0</v>
      </c>
      <c r="O150" s="18">
        <f t="shared" si="37"/>
        <v>0</v>
      </c>
      <c r="P150" s="18">
        <f t="shared" si="37"/>
        <v>0</v>
      </c>
      <c r="Q150" s="18">
        <f t="shared" si="37"/>
        <v>0</v>
      </c>
      <c r="R150" s="248">
        <f>SUM(F150:Q150)</f>
        <v>0</v>
      </c>
      <c r="S150" s="248">
        <f>SUM(S148:S149)</f>
        <v>0</v>
      </c>
      <c r="T150" s="248">
        <f>SUM(T148:T149)</f>
        <v>0</v>
      </c>
    </row>
    <row r="151" spans="1:20" s="76" customFormat="1" ht="13.5" hidden="1" customHeight="1" x14ac:dyDescent="0.2">
      <c r="A151" s="85"/>
      <c r="B151" s="312">
        <v>53000000</v>
      </c>
      <c r="C151" s="76" t="s">
        <v>391</v>
      </c>
      <c r="D151" s="406"/>
      <c r="E151" s="406"/>
      <c r="R151" s="199"/>
      <c r="S151" s="199"/>
      <c r="T151" s="199"/>
    </row>
    <row r="152" spans="1:20" hidden="1" x14ac:dyDescent="0.2">
      <c r="A152" s="58"/>
      <c r="B152" s="240"/>
      <c r="C152" t="s">
        <v>91</v>
      </c>
      <c r="D152" s="385">
        <v>0</v>
      </c>
      <c r="E152" s="385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196">
        <f>SUM(F152:Q152)</f>
        <v>0</v>
      </c>
      <c r="S152" s="203">
        <v>0</v>
      </c>
      <c r="T152" s="203">
        <v>0</v>
      </c>
    </row>
    <row r="153" spans="1:20" hidden="1" x14ac:dyDescent="0.2">
      <c r="A153" s="58"/>
      <c r="B153" s="240"/>
      <c r="C153" t="s">
        <v>91</v>
      </c>
      <c r="D153" s="389">
        <v>0</v>
      </c>
      <c r="E153" s="389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300">
        <f>SUM(F153:Q153)</f>
        <v>0</v>
      </c>
      <c r="S153" s="205">
        <v>0</v>
      </c>
      <c r="T153" s="205">
        <v>0</v>
      </c>
    </row>
    <row r="154" spans="1:20" s="18" customFormat="1" ht="13.5" hidden="1" customHeight="1" x14ac:dyDescent="0.2">
      <c r="A154" s="324"/>
      <c r="B154" s="325"/>
      <c r="C154" s="18" t="s">
        <v>92</v>
      </c>
      <c r="D154" s="432">
        <f t="shared" ref="D154:Q154" si="38">SUM(D152:D153)</f>
        <v>0</v>
      </c>
      <c r="E154" s="432">
        <f t="shared" si="38"/>
        <v>0</v>
      </c>
      <c r="F154" s="18">
        <f t="shared" si="38"/>
        <v>0</v>
      </c>
      <c r="G154" s="18">
        <f t="shared" si="38"/>
        <v>0</v>
      </c>
      <c r="H154" s="18">
        <f t="shared" si="38"/>
        <v>0</v>
      </c>
      <c r="I154" s="18">
        <f t="shared" si="38"/>
        <v>0</v>
      </c>
      <c r="J154" s="18">
        <f t="shared" si="38"/>
        <v>0</v>
      </c>
      <c r="K154" s="18">
        <f t="shared" si="38"/>
        <v>0</v>
      </c>
      <c r="L154" s="18">
        <f t="shared" si="38"/>
        <v>0</v>
      </c>
      <c r="M154" s="18">
        <f t="shared" si="38"/>
        <v>0</v>
      </c>
      <c r="N154" s="18">
        <f t="shared" si="38"/>
        <v>0</v>
      </c>
      <c r="O154" s="18">
        <f t="shared" si="38"/>
        <v>0</v>
      </c>
      <c r="P154" s="18">
        <f t="shared" si="38"/>
        <v>0</v>
      </c>
      <c r="Q154" s="18">
        <f t="shared" si="38"/>
        <v>0</v>
      </c>
      <c r="R154" s="248">
        <f>SUM(F154:Q154)</f>
        <v>0</v>
      </c>
      <c r="S154" s="248">
        <f>SUM(S152:S153)</f>
        <v>0</v>
      </c>
      <c r="T154" s="248">
        <f>SUM(T152:T153)</f>
        <v>0</v>
      </c>
    </row>
    <row r="155" spans="1:20" s="76" customFormat="1" ht="13.5" hidden="1" customHeight="1" x14ac:dyDescent="0.2">
      <c r="A155" s="85"/>
      <c r="B155" s="312">
        <v>53101000</v>
      </c>
      <c r="C155" s="76" t="s">
        <v>392</v>
      </c>
      <c r="D155" s="406"/>
      <c r="E155" s="406"/>
      <c r="R155" s="199"/>
      <c r="S155" s="199"/>
      <c r="T155" s="199"/>
    </row>
    <row r="156" spans="1:20" hidden="1" x14ac:dyDescent="0.2">
      <c r="A156" s="58"/>
      <c r="B156" s="240"/>
      <c r="C156" t="s">
        <v>91</v>
      </c>
      <c r="D156" s="385">
        <v>0</v>
      </c>
      <c r="E156" s="385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196">
        <f>SUM(F156:Q156)</f>
        <v>0</v>
      </c>
      <c r="S156" s="203">
        <v>0</v>
      </c>
      <c r="T156" s="203">
        <v>0</v>
      </c>
    </row>
    <row r="157" spans="1:20" hidden="1" x14ac:dyDescent="0.2">
      <c r="A157" s="58"/>
      <c r="B157" s="240"/>
      <c r="C157" t="s">
        <v>91</v>
      </c>
      <c r="D157" s="389">
        <v>0</v>
      </c>
      <c r="E157" s="389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300">
        <f>SUM(F157:Q157)</f>
        <v>0</v>
      </c>
      <c r="S157" s="205">
        <v>0</v>
      </c>
      <c r="T157" s="205">
        <v>0</v>
      </c>
    </row>
    <row r="158" spans="1:20" s="18" customFormat="1" ht="13.5" hidden="1" customHeight="1" x14ac:dyDescent="0.2">
      <c r="A158" s="324"/>
      <c r="B158" s="325"/>
      <c r="C158" s="18" t="s">
        <v>92</v>
      </c>
      <c r="D158" s="432">
        <f t="shared" ref="D158:Q158" si="39">SUM(D156:D157)</f>
        <v>0</v>
      </c>
      <c r="E158" s="432">
        <f t="shared" si="39"/>
        <v>0</v>
      </c>
      <c r="F158" s="18">
        <f t="shared" si="39"/>
        <v>0</v>
      </c>
      <c r="G158" s="18">
        <f t="shared" si="39"/>
        <v>0</v>
      </c>
      <c r="H158" s="18">
        <f t="shared" si="39"/>
        <v>0</v>
      </c>
      <c r="I158" s="18">
        <f t="shared" si="39"/>
        <v>0</v>
      </c>
      <c r="J158" s="18">
        <f t="shared" si="39"/>
        <v>0</v>
      </c>
      <c r="K158" s="18">
        <f t="shared" si="39"/>
        <v>0</v>
      </c>
      <c r="L158" s="18">
        <f t="shared" si="39"/>
        <v>0</v>
      </c>
      <c r="M158" s="18">
        <f t="shared" si="39"/>
        <v>0</v>
      </c>
      <c r="N158" s="18">
        <f t="shared" si="39"/>
        <v>0</v>
      </c>
      <c r="O158" s="18">
        <f t="shared" si="39"/>
        <v>0</v>
      </c>
      <c r="P158" s="18">
        <f t="shared" si="39"/>
        <v>0</v>
      </c>
      <c r="Q158" s="18">
        <f t="shared" si="39"/>
        <v>0</v>
      </c>
      <c r="R158" s="248">
        <f>SUM(F158:Q158)</f>
        <v>0</v>
      </c>
      <c r="S158" s="248">
        <f>SUM(S156:S157)</f>
        <v>0</v>
      </c>
      <c r="T158" s="248">
        <f>SUM(T156:T157)</f>
        <v>0</v>
      </c>
    </row>
    <row r="159" spans="1:20" s="76" customFormat="1" ht="13.5" hidden="1" customHeight="1" x14ac:dyDescent="0.2">
      <c r="A159" s="85"/>
      <c r="B159" s="312">
        <v>53102000</v>
      </c>
      <c r="C159" s="76" t="s">
        <v>393</v>
      </c>
      <c r="D159" s="406"/>
      <c r="E159" s="406"/>
      <c r="R159" s="199"/>
      <c r="S159" s="199"/>
      <c r="T159" s="199"/>
    </row>
    <row r="160" spans="1:20" hidden="1" x14ac:dyDescent="0.2">
      <c r="A160" s="58"/>
      <c r="B160" s="240"/>
      <c r="C160" t="s">
        <v>91</v>
      </c>
      <c r="D160" s="385">
        <v>0</v>
      </c>
      <c r="E160" s="385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196">
        <f>SUM(F160:Q160)</f>
        <v>0</v>
      </c>
      <c r="S160" s="203">
        <v>0</v>
      </c>
      <c r="T160" s="203">
        <v>0</v>
      </c>
    </row>
    <row r="161" spans="1:20" hidden="1" x14ac:dyDescent="0.2">
      <c r="A161" s="58"/>
      <c r="B161" s="240"/>
      <c r="C161" t="s">
        <v>91</v>
      </c>
      <c r="D161" s="389">
        <v>0</v>
      </c>
      <c r="E161" s="389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300">
        <f>SUM(F161:Q161)</f>
        <v>0</v>
      </c>
      <c r="S161" s="205">
        <v>0</v>
      </c>
      <c r="T161" s="205">
        <v>0</v>
      </c>
    </row>
    <row r="162" spans="1:20" s="18" customFormat="1" ht="13.5" hidden="1" customHeight="1" x14ac:dyDescent="0.2">
      <c r="A162" s="324"/>
      <c r="B162" s="325"/>
      <c r="C162" s="18" t="s">
        <v>92</v>
      </c>
      <c r="D162" s="432">
        <f t="shared" ref="D162:Q162" si="40">SUM(D160:D161)</f>
        <v>0</v>
      </c>
      <c r="E162" s="432">
        <f t="shared" si="40"/>
        <v>0</v>
      </c>
      <c r="F162" s="18">
        <f t="shared" si="40"/>
        <v>0</v>
      </c>
      <c r="G162" s="18">
        <f t="shared" si="40"/>
        <v>0</v>
      </c>
      <c r="H162" s="18">
        <f t="shared" si="40"/>
        <v>0</v>
      </c>
      <c r="I162" s="18">
        <f t="shared" si="40"/>
        <v>0</v>
      </c>
      <c r="J162" s="18">
        <f t="shared" si="40"/>
        <v>0</v>
      </c>
      <c r="K162" s="18">
        <f t="shared" si="40"/>
        <v>0</v>
      </c>
      <c r="L162" s="18">
        <f t="shared" si="40"/>
        <v>0</v>
      </c>
      <c r="M162" s="18">
        <f t="shared" si="40"/>
        <v>0</v>
      </c>
      <c r="N162" s="18">
        <f t="shared" si="40"/>
        <v>0</v>
      </c>
      <c r="O162" s="18">
        <f t="shared" si="40"/>
        <v>0</v>
      </c>
      <c r="P162" s="18">
        <f t="shared" si="40"/>
        <v>0</v>
      </c>
      <c r="Q162" s="18">
        <f t="shared" si="40"/>
        <v>0</v>
      </c>
      <c r="R162" s="248">
        <f>SUM(F162:Q162)</f>
        <v>0</v>
      </c>
      <c r="S162" s="248">
        <f>SUM(S160:S161)</f>
        <v>0</v>
      </c>
      <c r="T162" s="248">
        <f>SUM(T160:T161)</f>
        <v>0</v>
      </c>
    </row>
    <row r="163" spans="1:20" hidden="1" x14ac:dyDescent="0.2">
      <c r="A163" s="58"/>
      <c r="B163" s="240">
        <v>53102100</v>
      </c>
      <c r="C163" t="s">
        <v>394</v>
      </c>
      <c r="D163" s="385"/>
      <c r="E163" s="385"/>
      <c r="F163" s="8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96"/>
      <c r="S163" s="196"/>
      <c r="T163" s="196"/>
    </row>
    <row r="164" spans="1:20" hidden="1" x14ac:dyDescent="0.2">
      <c r="A164" s="58"/>
      <c r="B164" s="240"/>
      <c r="C164" t="s">
        <v>91</v>
      </c>
      <c r="D164" s="385">
        <v>0</v>
      </c>
      <c r="E164" s="385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196">
        <f>SUM(F164:Q164)</f>
        <v>0</v>
      </c>
      <c r="S164" s="203">
        <v>0</v>
      </c>
      <c r="T164" s="203">
        <v>0</v>
      </c>
    </row>
    <row r="165" spans="1:20" hidden="1" x14ac:dyDescent="0.2">
      <c r="A165" s="58"/>
      <c r="B165" s="240"/>
      <c r="C165" t="s">
        <v>91</v>
      </c>
      <c r="D165" s="389">
        <v>0</v>
      </c>
      <c r="E165" s="389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300">
        <f>SUM(F165:Q165)</f>
        <v>0</v>
      </c>
      <c r="S165" s="205">
        <v>0</v>
      </c>
      <c r="T165" s="205">
        <v>0</v>
      </c>
    </row>
    <row r="166" spans="1:20" s="18" customFormat="1" hidden="1" x14ac:dyDescent="0.2">
      <c r="A166" s="324"/>
      <c r="B166" s="325"/>
      <c r="C166" s="18" t="s">
        <v>92</v>
      </c>
      <c r="D166" s="432">
        <f t="shared" ref="D166:Q166" si="41">SUM(D164:D165)</f>
        <v>0</v>
      </c>
      <c r="E166" s="432">
        <f t="shared" si="41"/>
        <v>0</v>
      </c>
      <c r="F166" s="18">
        <f t="shared" si="41"/>
        <v>0</v>
      </c>
      <c r="G166" s="18">
        <f t="shared" si="41"/>
        <v>0</v>
      </c>
      <c r="H166" s="18">
        <f t="shared" si="41"/>
        <v>0</v>
      </c>
      <c r="I166" s="18">
        <f t="shared" si="41"/>
        <v>0</v>
      </c>
      <c r="J166" s="18">
        <f t="shared" si="41"/>
        <v>0</v>
      </c>
      <c r="K166" s="18">
        <f t="shared" si="41"/>
        <v>0</v>
      </c>
      <c r="L166" s="18">
        <f t="shared" si="41"/>
        <v>0</v>
      </c>
      <c r="M166" s="18">
        <f t="shared" si="41"/>
        <v>0</v>
      </c>
      <c r="N166" s="18">
        <f t="shared" si="41"/>
        <v>0</v>
      </c>
      <c r="O166" s="18">
        <f t="shared" si="41"/>
        <v>0</v>
      </c>
      <c r="P166" s="18">
        <f t="shared" si="41"/>
        <v>0</v>
      </c>
      <c r="Q166" s="18">
        <f t="shared" si="41"/>
        <v>0</v>
      </c>
      <c r="R166" s="248">
        <f>SUM(F166:Q166)</f>
        <v>0</v>
      </c>
      <c r="S166" s="248">
        <f>SUM(S164:S165)</f>
        <v>0</v>
      </c>
      <c r="T166" s="248">
        <f>SUM(T164:T165)</f>
        <v>0</v>
      </c>
    </row>
    <row r="167" spans="1:20" hidden="1" x14ac:dyDescent="0.2">
      <c r="A167" s="16"/>
      <c r="B167" s="240">
        <v>53200000</v>
      </c>
      <c r="C167" t="s">
        <v>395</v>
      </c>
      <c r="D167" s="385"/>
      <c r="E167" s="385"/>
      <c r="F167" s="8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96"/>
      <c r="S167" s="196"/>
      <c r="T167" s="196"/>
    </row>
    <row r="168" spans="1:20" hidden="1" x14ac:dyDescent="0.2">
      <c r="A168" s="58"/>
      <c r="B168" s="240"/>
      <c r="C168" t="s">
        <v>91</v>
      </c>
      <c r="D168" s="385">
        <v>0</v>
      </c>
      <c r="E168" s="385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196">
        <f>SUM(F168:Q168)</f>
        <v>0</v>
      </c>
      <c r="S168" s="203">
        <v>0</v>
      </c>
      <c r="T168" s="203">
        <v>0</v>
      </c>
    </row>
    <row r="169" spans="1:20" hidden="1" x14ac:dyDescent="0.2">
      <c r="A169" s="58"/>
      <c r="B169" s="240"/>
      <c r="C169" t="s">
        <v>91</v>
      </c>
      <c r="D169" s="389">
        <v>0</v>
      </c>
      <c r="E169" s="389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300">
        <f>SUM(F169:Q169)</f>
        <v>0</v>
      </c>
      <c r="S169" s="205">
        <v>0</v>
      </c>
      <c r="T169" s="205">
        <v>0</v>
      </c>
    </row>
    <row r="170" spans="1:20" s="18" customFormat="1" ht="13.5" hidden="1" customHeight="1" x14ac:dyDescent="0.2">
      <c r="A170" s="324"/>
      <c r="B170" s="325"/>
      <c r="C170" s="18" t="s">
        <v>92</v>
      </c>
      <c r="D170" s="432">
        <f t="shared" ref="D170:Q170" si="42">SUM(D168:D169)</f>
        <v>0</v>
      </c>
      <c r="E170" s="432">
        <f t="shared" si="42"/>
        <v>0</v>
      </c>
      <c r="F170" s="18">
        <f t="shared" si="42"/>
        <v>0</v>
      </c>
      <c r="G170" s="18">
        <f t="shared" si="42"/>
        <v>0</v>
      </c>
      <c r="H170" s="18">
        <f t="shared" si="42"/>
        <v>0</v>
      </c>
      <c r="I170" s="18">
        <f t="shared" si="42"/>
        <v>0</v>
      </c>
      <c r="J170" s="18">
        <f t="shared" si="42"/>
        <v>0</v>
      </c>
      <c r="K170" s="18">
        <f t="shared" si="42"/>
        <v>0</v>
      </c>
      <c r="L170" s="18">
        <f t="shared" si="42"/>
        <v>0</v>
      </c>
      <c r="M170" s="18">
        <f t="shared" si="42"/>
        <v>0</v>
      </c>
      <c r="N170" s="18">
        <f t="shared" si="42"/>
        <v>0</v>
      </c>
      <c r="O170" s="18">
        <f t="shared" si="42"/>
        <v>0</v>
      </c>
      <c r="P170" s="18">
        <f t="shared" si="42"/>
        <v>0</v>
      </c>
      <c r="Q170" s="18">
        <f t="shared" si="42"/>
        <v>0</v>
      </c>
      <c r="R170" s="248">
        <f>SUM(F170:Q170)</f>
        <v>0</v>
      </c>
      <c r="S170" s="248">
        <f>SUM(S168:S169)</f>
        <v>0</v>
      </c>
      <c r="T170" s="248">
        <f>SUM(T168:T169)</f>
        <v>0</v>
      </c>
    </row>
    <row r="171" spans="1:20" hidden="1" x14ac:dyDescent="0.2">
      <c r="A171" s="58"/>
      <c r="B171" s="240">
        <v>53500000</v>
      </c>
      <c r="C171" t="s">
        <v>397</v>
      </c>
      <c r="D171" s="385"/>
      <c r="E171" s="385"/>
      <c r="F171" s="8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96"/>
      <c r="S171" s="196"/>
      <c r="T171" s="196"/>
    </row>
    <row r="172" spans="1:20" hidden="1" x14ac:dyDescent="0.2">
      <c r="A172" s="58"/>
      <c r="B172" s="240"/>
      <c r="C172" t="s">
        <v>91</v>
      </c>
      <c r="D172" s="385">
        <v>0</v>
      </c>
      <c r="E172" s="385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196">
        <f>SUM(F172:Q172)</f>
        <v>0</v>
      </c>
      <c r="S172" s="203">
        <v>0</v>
      </c>
      <c r="T172" s="203">
        <v>0</v>
      </c>
    </row>
    <row r="173" spans="1:20" hidden="1" x14ac:dyDescent="0.2">
      <c r="A173" s="58"/>
      <c r="B173" s="240"/>
      <c r="C173" t="s">
        <v>91</v>
      </c>
      <c r="D173" s="389">
        <v>0</v>
      </c>
      <c r="E173" s="389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300">
        <f>SUM(F173:Q173)</f>
        <v>0</v>
      </c>
      <c r="S173" s="205">
        <v>0</v>
      </c>
      <c r="T173" s="205">
        <v>0</v>
      </c>
    </row>
    <row r="174" spans="1:20" s="18" customFormat="1" hidden="1" x14ac:dyDescent="0.2">
      <c r="A174" s="324"/>
      <c r="B174" s="325"/>
      <c r="C174" s="18" t="s">
        <v>92</v>
      </c>
      <c r="D174" s="432">
        <f t="shared" ref="D174:Q174" si="43">SUM(D172:D173)</f>
        <v>0</v>
      </c>
      <c r="E174" s="432">
        <f t="shared" si="43"/>
        <v>0</v>
      </c>
      <c r="F174" s="18">
        <f t="shared" si="43"/>
        <v>0</v>
      </c>
      <c r="G174" s="18">
        <f t="shared" si="43"/>
        <v>0</v>
      </c>
      <c r="H174" s="18">
        <f t="shared" si="43"/>
        <v>0</v>
      </c>
      <c r="I174" s="18">
        <f t="shared" si="43"/>
        <v>0</v>
      </c>
      <c r="J174" s="18">
        <f t="shared" si="43"/>
        <v>0</v>
      </c>
      <c r="K174" s="18">
        <f t="shared" si="43"/>
        <v>0</v>
      </c>
      <c r="L174" s="18">
        <f t="shared" si="43"/>
        <v>0</v>
      </c>
      <c r="M174" s="18">
        <f t="shared" si="43"/>
        <v>0</v>
      </c>
      <c r="N174" s="18">
        <f t="shared" si="43"/>
        <v>0</v>
      </c>
      <c r="O174" s="18">
        <f t="shared" si="43"/>
        <v>0</v>
      </c>
      <c r="P174" s="18">
        <f t="shared" si="43"/>
        <v>0</v>
      </c>
      <c r="Q174" s="18">
        <f t="shared" si="43"/>
        <v>0</v>
      </c>
      <c r="R174" s="248">
        <f>SUM(F174:Q174)</f>
        <v>0</v>
      </c>
      <c r="S174" s="248">
        <f>SUM(S172:S173)</f>
        <v>0</v>
      </c>
      <c r="T174" s="248">
        <f>SUM(T172:T173)</f>
        <v>0</v>
      </c>
    </row>
    <row r="175" spans="1:20" hidden="1" x14ac:dyDescent="0.2">
      <c r="A175" s="16"/>
      <c r="B175" s="240">
        <v>53500500</v>
      </c>
      <c r="C175" t="s">
        <v>396</v>
      </c>
      <c r="D175" s="385"/>
      <c r="E175" s="385"/>
      <c r="F175" s="8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96"/>
      <c r="S175" s="196"/>
      <c r="T175" s="196"/>
    </row>
    <row r="176" spans="1:20" hidden="1" x14ac:dyDescent="0.2">
      <c r="A176" s="58"/>
      <c r="B176" s="240"/>
      <c r="C176" t="s">
        <v>91</v>
      </c>
      <c r="D176" s="385">
        <v>0</v>
      </c>
      <c r="E176" s="385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196">
        <f>SUM(F176:Q176)</f>
        <v>0</v>
      </c>
      <c r="S176" s="203">
        <v>0</v>
      </c>
      <c r="T176" s="203">
        <v>0</v>
      </c>
    </row>
    <row r="177" spans="1:20" hidden="1" x14ac:dyDescent="0.2">
      <c r="A177" s="58"/>
      <c r="B177" s="240"/>
      <c r="C177" t="s">
        <v>91</v>
      </c>
      <c r="D177" s="389">
        <v>0</v>
      </c>
      <c r="E177" s="389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300">
        <f>SUM(F177:Q177)</f>
        <v>0</v>
      </c>
      <c r="S177" s="205">
        <v>0</v>
      </c>
      <c r="T177" s="205">
        <v>0</v>
      </c>
    </row>
    <row r="178" spans="1:20" s="18" customFormat="1" ht="13.5" hidden="1" customHeight="1" x14ac:dyDescent="0.2">
      <c r="A178" s="324"/>
      <c r="B178" s="325"/>
      <c r="C178" s="18" t="s">
        <v>92</v>
      </c>
      <c r="D178" s="432">
        <f t="shared" ref="D178:Q178" si="44">SUM(D176:D177)</f>
        <v>0</v>
      </c>
      <c r="E178" s="432">
        <f t="shared" si="44"/>
        <v>0</v>
      </c>
      <c r="F178" s="18">
        <f t="shared" si="44"/>
        <v>0</v>
      </c>
      <c r="G178" s="18">
        <f t="shared" si="44"/>
        <v>0</v>
      </c>
      <c r="H178" s="18">
        <f t="shared" si="44"/>
        <v>0</v>
      </c>
      <c r="I178" s="18">
        <f t="shared" si="44"/>
        <v>0</v>
      </c>
      <c r="J178" s="18">
        <f t="shared" si="44"/>
        <v>0</v>
      </c>
      <c r="K178" s="18">
        <f t="shared" si="44"/>
        <v>0</v>
      </c>
      <c r="L178" s="18">
        <f t="shared" si="44"/>
        <v>0</v>
      </c>
      <c r="M178" s="18">
        <f t="shared" si="44"/>
        <v>0</v>
      </c>
      <c r="N178" s="18">
        <f t="shared" si="44"/>
        <v>0</v>
      </c>
      <c r="O178" s="18">
        <f t="shared" si="44"/>
        <v>0</v>
      </c>
      <c r="P178" s="18">
        <f t="shared" si="44"/>
        <v>0</v>
      </c>
      <c r="Q178" s="18">
        <f t="shared" si="44"/>
        <v>0</v>
      </c>
      <c r="R178" s="248">
        <f>SUM(F178:Q178)</f>
        <v>0</v>
      </c>
      <c r="S178" s="248">
        <f>SUM(S176:S177)</f>
        <v>0</v>
      </c>
      <c r="T178" s="248">
        <f>SUM(T176:T177)</f>
        <v>0</v>
      </c>
    </row>
    <row r="179" spans="1:20" hidden="1" x14ac:dyDescent="0.2">
      <c r="A179" s="58"/>
      <c r="B179" s="240">
        <v>53550000</v>
      </c>
      <c r="C179" t="s">
        <v>398</v>
      </c>
      <c r="D179" s="385"/>
      <c r="E179" s="385"/>
      <c r="F179" s="8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96"/>
      <c r="S179" s="196"/>
      <c r="T179" s="196"/>
    </row>
    <row r="180" spans="1:20" hidden="1" x14ac:dyDescent="0.2">
      <c r="A180" s="58"/>
      <c r="B180" s="240"/>
      <c r="C180" t="s">
        <v>91</v>
      </c>
      <c r="D180" s="385">
        <v>0</v>
      </c>
      <c r="E180" s="385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196">
        <f>SUM(F180:Q180)</f>
        <v>0</v>
      </c>
      <c r="S180" s="203">
        <v>0</v>
      </c>
      <c r="T180" s="203">
        <v>0</v>
      </c>
    </row>
    <row r="181" spans="1:20" hidden="1" x14ac:dyDescent="0.2">
      <c r="A181" s="58"/>
      <c r="B181" s="240"/>
      <c r="C181" t="s">
        <v>91</v>
      </c>
      <c r="D181" s="389">
        <v>0</v>
      </c>
      <c r="E181" s="389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300">
        <f>SUM(F181:Q181)</f>
        <v>0</v>
      </c>
      <c r="S181" s="205">
        <v>0</v>
      </c>
      <c r="T181" s="205">
        <v>0</v>
      </c>
    </row>
    <row r="182" spans="1:20" s="18" customFormat="1" hidden="1" x14ac:dyDescent="0.2">
      <c r="A182" s="324"/>
      <c r="B182" s="325"/>
      <c r="C182" s="18" t="s">
        <v>92</v>
      </c>
      <c r="D182" s="432">
        <f t="shared" ref="D182:Q182" si="45">SUM(D180:D181)</f>
        <v>0</v>
      </c>
      <c r="E182" s="432">
        <f t="shared" si="45"/>
        <v>0</v>
      </c>
      <c r="F182" s="18">
        <f t="shared" si="45"/>
        <v>0</v>
      </c>
      <c r="G182" s="18">
        <f t="shared" si="45"/>
        <v>0</v>
      </c>
      <c r="H182" s="18">
        <f t="shared" si="45"/>
        <v>0</v>
      </c>
      <c r="I182" s="18">
        <f t="shared" si="45"/>
        <v>0</v>
      </c>
      <c r="J182" s="18">
        <f t="shared" si="45"/>
        <v>0</v>
      </c>
      <c r="K182" s="18">
        <f t="shared" si="45"/>
        <v>0</v>
      </c>
      <c r="L182" s="18">
        <f t="shared" si="45"/>
        <v>0</v>
      </c>
      <c r="M182" s="18">
        <f t="shared" si="45"/>
        <v>0</v>
      </c>
      <c r="N182" s="18">
        <f t="shared" si="45"/>
        <v>0</v>
      </c>
      <c r="O182" s="18">
        <f t="shared" si="45"/>
        <v>0</v>
      </c>
      <c r="P182" s="18">
        <f t="shared" si="45"/>
        <v>0</v>
      </c>
      <c r="Q182" s="18">
        <f t="shared" si="45"/>
        <v>0</v>
      </c>
      <c r="R182" s="248">
        <f>SUM(F182:Q182)</f>
        <v>0</v>
      </c>
      <c r="S182" s="248">
        <f>SUM(S180:S181)</f>
        <v>0</v>
      </c>
      <c r="T182" s="248">
        <f>SUM(T180:T181)</f>
        <v>0</v>
      </c>
    </row>
    <row r="183" spans="1:20" hidden="1" x14ac:dyDescent="0.2">
      <c r="A183" s="16"/>
      <c r="B183" s="240">
        <v>53551000</v>
      </c>
      <c r="C183" t="s">
        <v>399</v>
      </c>
      <c r="D183" s="385"/>
      <c r="E183" s="385"/>
      <c r="F183" s="8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96"/>
      <c r="S183" s="196"/>
      <c r="T183" s="196"/>
    </row>
    <row r="184" spans="1:20" hidden="1" x14ac:dyDescent="0.2">
      <c r="A184" s="58"/>
      <c r="B184" s="240"/>
      <c r="C184" t="s">
        <v>91</v>
      </c>
      <c r="D184" s="385">
        <v>0</v>
      </c>
      <c r="E184" s="385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196">
        <f>SUM(F184:Q184)</f>
        <v>0</v>
      </c>
      <c r="S184" s="203">
        <v>0</v>
      </c>
      <c r="T184" s="203">
        <v>0</v>
      </c>
    </row>
    <row r="185" spans="1:20" hidden="1" x14ac:dyDescent="0.2">
      <c r="A185" s="58"/>
      <c r="B185" s="240"/>
      <c r="C185" t="s">
        <v>91</v>
      </c>
      <c r="D185" s="389">
        <v>0</v>
      </c>
      <c r="E185" s="389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300">
        <f>SUM(F185:Q185)</f>
        <v>0</v>
      </c>
      <c r="S185" s="205">
        <v>0</v>
      </c>
      <c r="T185" s="205">
        <v>0</v>
      </c>
    </row>
    <row r="186" spans="1:20" s="18" customFormat="1" hidden="1" x14ac:dyDescent="0.2">
      <c r="A186" s="324"/>
      <c r="B186" s="325"/>
      <c r="C186" s="18" t="s">
        <v>92</v>
      </c>
      <c r="D186" s="432">
        <f t="shared" ref="D186:Q186" si="46">SUM(D184:D185)</f>
        <v>0</v>
      </c>
      <c r="E186" s="432">
        <f t="shared" si="46"/>
        <v>0</v>
      </c>
      <c r="F186" s="18">
        <f t="shared" si="46"/>
        <v>0</v>
      </c>
      <c r="G186" s="18">
        <f t="shared" si="46"/>
        <v>0</v>
      </c>
      <c r="H186" s="18">
        <f t="shared" si="46"/>
        <v>0</v>
      </c>
      <c r="I186" s="18">
        <f t="shared" si="46"/>
        <v>0</v>
      </c>
      <c r="J186" s="18">
        <f t="shared" si="46"/>
        <v>0</v>
      </c>
      <c r="K186" s="18">
        <f t="shared" si="46"/>
        <v>0</v>
      </c>
      <c r="L186" s="18">
        <f t="shared" si="46"/>
        <v>0</v>
      </c>
      <c r="M186" s="18">
        <f t="shared" si="46"/>
        <v>0</v>
      </c>
      <c r="N186" s="18">
        <f t="shared" si="46"/>
        <v>0</v>
      </c>
      <c r="O186" s="18">
        <f t="shared" si="46"/>
        <v>0</v>
      </c>
      <c r="P186" s="18">
        <f t="shared" si="46"/>
        <v>0</v>
      </c>
      <c r="Q186" s="18">
        <f t="shared" si="46"/>
        <v>0</v>
      </c>
      <c r="R186" s="248">
        <f>SUM(F186:Q186)</f>
        <v>0</v>
      </c>
      <c r="S186" s="248">
        <f>SUM(S184:S185)</f>
        <v>0</v>
      </c>
      <c r="T186" s="248">
        <f>SUM(T184:T185)</f>
        <v>0</v>
      </c>
    </row>
    <row r="187" spans="1:20" x14ac:dyDescent="0.2">
      <c r="A187" s="247" t="s">
        <v>428</v>
      </c>
      <c r="B187" s="240">
        <v>53600000</v>
      </c>
      <c r="C187" t="s">
        <v>400</v>
      </c>
      <c r="D187" s="385"/>
      <c r="E187" s="385"/>
      <c r="F187" s="8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96"/>
      <c r="S187" s="196"/>
      <c r="T187" s="196"/>
    </row>
    <row r="188" spans="1:20" s="384" customFormat="1" x14ac:dyDescent="0.2">
      <c r="A188" s="382"/>
      <c r="B188" s="383"/>
      <c r="C188" s="384" t="s">
        <v>91</v>
      </c>
      <c r="D188" s="385">
        <v>2004</v>
      </c>
      <c r="E188" s="385">
        <v>153</v>
      </c>
      <c r="F188" s="386">
        <f>93556/12</f>
        <v>7796.333333333333</v>
      </c>
      <c r="G188" s="386">
        <v>7796.333333333333</v>
      </c>
      <c r="H188" s="386">
        <v>7796.333333333333</v>
      </c>
      <c r="I188" s="386">
        <v>7796.333333333333</v>
      </c>
      <c r="J188" s="386">
        <v>7796.333333333333</v>
      </c>
      <c r="K188" s="386">
        <v>7796.333333333333</v>
      </c>
      <c r="L188" s="386">
        <v>7796.333333333333</v>
      </c>
      <c r="M188" s="386">
        <v>7796.333333333333</v>
      </c>
      <c r="N188" s="386">
        <v>7796.333333333333</v>
      </c>
      <c r="O188" s="386">
        <v>7796.333333333333</v>
      </c>
      <c r="P188" s="386">
        <v>7796.333333333333</v>
      </c>
      <c r="Q188" s="386">
        <v>7796.333333333333</v>
      </c>
      <c r="R188" s="387">
        <f>SUM(F188:Q188)</f>
        <v>93555.999999999985</v>
      </c>
      <c r="S188" s="388">
        <f>ROUND(R188*1.05,0)</f>
        <v>98234</v>
      </c>
      <c r="T188" s="388">
        <f>ROUND(S188*1.05,0)</f>
        <v>103146</v>
      </c>
    </row>
    <row r="189" spans="1:20" s="384" customFormat="1" x14ac:dyDescent="0.2">
      <c r="A189" s="382"/>
      <c r="B189" s="383"/>
      <c r="C189" s="384" t="s">
        <v>91</v>
      </c>
      <c r="D189" s="389">
        <v>20004</v>
      </c>
      <c r="E189" s="389">
        <v>53117</v>
      </c>
      <c r="F189" s="390">
        <v>0</v>
      </c>
      <c r="G189" s="390">
        <v>0</v>
      </c>
      <c r="H189" s="390">
        <v>0</v>
      </c>
      <c r="I189" s="390">
        <v>0</v>
      </c>
      <c r="J189" s="390">
        <v>0</v>
      </c>
      <c r="K189" s="390">
        <v>0</v>
      </c>
      <c r="L189" s="390">
        <v>0</v>
      </c>
      <c r="M189" s="390">
        <v>0</v>
      </c>
      <c r="N189" s="390">
        <v>0</v>
      </c>
      <c r="O189" s="390">
        <v>0</v>
      </c>
      <c r="P189" s="390">
        <v>0</v>
      </c>
      <c r="Q189" s="390">
        <v>0</v>
      </c>
      <c r="R189" s="391">
        <f>SUM(F189:Q189)</f>
        <v>0</v>
      </c>
      <c r="S189" s="392">
        <f>ROUND(R189*1.05,0)</f>
        <v>0</v>
      </c>
      <c r="T189" s="392">
        <f>ROUND(S189*1.05,0)</f>
        <v>0</v>
      </c>
    </row>
    <row r="190" spans="1:20" s="18" customFormat="1" x14ac:dyDescent="0.2">
      <c r="A190" s="324"/>
      <c r="B190" s="325"/>
      <c r="C190" s="18" t="s">
        <v>92</v>
      </c>
      <c r="D190" s="432">
        <f t="shared" ref="D190:Q190" si="47">SUM(D188:D189)</f>
        <v>22008</v>
      </c>
      <c r="E190" s="432">
        <f t="shared" si="47"/>
        <v>53270</v>
      </c>
      <c r="F190" s="18">
        <f t="shared" si="47"/>
        <v>7796.333333333333</v>
      </c>
      <c r="G190" s="18">
        <f t="shared" si="47"/>
        <v>7796.333333333333</v>
      </c>
      <c r="H190" s="18">
        <f t="shared" si="47"/>
        <v>7796.333333333333</v>
      </c>
      <c r="I190" s="18">
        <f t="shared" si="47"/>
        <v>7796.333333333333</v>
      </c>
      <c r="J190" s="18">
        <f t="shared" si="47"/>
        <v>7796.333333333333</v>
      </c>
      <c r="K190" s="18">
        <f t="shared" si="47"/>
        <v>7796.333333333333</v>
      </c>
      <c r="L190" s="18">
        <f t="shared" si="47"/>
        <v>7796.333333333333</v>
      </c>
      <c r="M190" s="18">
        <f t="shared" si="47"/>
        <v>7796.333333333333</v>
      </c>
      <c r="N190" s="18">
        <f t="shared" si="47"/>
        <v>7796.333333333333</v>
      </c>
      <c r="O190" s="18">
        <f t="shared" si="47"/>
        <v>7796.333333333333</v>
      </c>
      <c r="P190" s="18">
        <f t="shared" si="47"/>
        <v>7796.333333333333</v>
      </c>
      <c r="Q190" s="18">
        <f t="shared" si="47"/>
        <v>7796.333333333333</v>
      </c>
      <c r="R190" s="248">
        <f>SUM(F190:Q190)</f>
        <v>93555.999999999985</v>
      </c>
      <c r="S190" s="248">
        <f>SUM(S188:S189)</f>
        <v>98234</v>
      </c>
      <c r="T190" s="248">
        <f>SUM(T188:T189)</f>
        <v>103146</v>
      </c>
    </row>
    <row r="191" spans="1:20" x14ac:dyDescent="0.2">
      <c r="A191" s="247" t="s">
        <v>429</v>
      </c>
      <c r="B191" s="240">
        <v>53800000</v>
      </c>
      <c r="C191" t="s">
        <v>401</v>
      </c>
      <c r="D191" s="385"/>
      <c r="E191" s="385"/>
      <c r="F191" s="8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96"/>
      <c r="S191" s="196"/>
      <c r="T191" s="196"/>
    </row>
    <row r="192" spans="1:20" s="384" customFormat="1" x14ac:dyDescent="0.2">
      <c r="A192" s="382"/>
      <c r="B192" s="383"/>
      <c r="C192" s="384" t="s">
        <v>91</v>
      </c>
      <c r="D192" s="385">
        <v>0</v>
      </c>
      <c r="E192" s="385">
        <v>0</v>
      </c>
      <c r="F192" s="386">
        <f>2064/12</f>
        <v>172</v>
      </c>
      <c r="G192" s="386">
        <v>172</v>
      </c>
      <c r="H192" s="386">
        <v>172</v>
      </c>
      <c r="I192" s="386">
        <v>172</v>
      </c>
      <c r="J192" s="386">
        <v>172</v>
      </c>
      <c r="K192" s="386">
        <v>172</v>
      </c>
      <c r="L192" s="386">
        <v>172</v>
      </c>
      <c r="M192" s="386">
        <v>172</v>
      </c>
      <c r="N192" s="386">
        <v>172</v>
      </c>
      <c r="O192" s="386">
        <v>172</v>
      </c>
      <c r="P192" s="386">
        <v>172</v>
      </c>
      <c r="Q192" s="386">
        <v>172</v>
      </c>
      <c r="R192" s="387">
        <f>SUM(F192:Q192)</f>
        <v>2064</v>
      </c>
      <c r="S192" s="388">
        <v>2126</v>
      </c>
      <c r="T192" s="388">
        <f>ROUND(S192*1.05,0)</f>
        <v>2232</v>
      </c>
    </row>
    <row r="193" spans="1:20" s="384" customFormat="1" x14ac:dyDescent="0.2">
      <c r="A193" s="382"/>
      <c r="B193" s="383"/>
      <c r="C193" s="384" t="s">
        <v>91</v>
      </c>
      <c r="D193" s="389">
        <v>0</v>
      </c>
      <c r="E193" s="389">
        <v>0</v>
      </c>
      <c r="F193" s="390">
        <v>0</v>
      </c>
      <c r="G193" s="390">
        <v>0</v>
      </c>
      <c r="H193" s="390">
        <v>0</v>
      </c>
      <c r="I193" s="390">
        <v>0</v>
      </c>
      <c r="J193" s="390">
        <v>0</v>
      </c>
      <c r="K193" s="390">
        <v>0</v>
      </c>
      <c r="L193" s="390">
        <v>0</v>
      </c>
      <c r="M193" s="390">
        <v>0</v>
      </c>
      <c r="N193" s="390">
        <v>0</v>
      </c>
      <c r="O193" s="390">
        <v>0</v>
      </c>
      <c r="P193" s="390">
        <v>0</v>
      </c>
      <c r="Q193" s="390">
        <v>0</v>
      </c>
      <c r="R193" s="391">
        <f>SUM(F193:Q193)</f>
        <v>0</v>
      </c>
      <c r="S193" s="392">
        <f>ROUND(R193*1.05,0)</f>
        <v>0</v>
      </c>
      <c r="T193" s="392">
        <f>ROUND(S193*1.05,0)</f>
        <v>0</v>
      </c>
    </row>
    <row r="194" spans="1:20" s="18" customFormat="1" x14ac:dyDescent="0.2">
      <c r="A194" s="324"/>
      <c r="B194" s="325"/>
      <c r="C194" s="18" t="s">
        <v>92</v>
      </c>
      <c r="D194" s="432">
        <f t="shared" ref="D194:Q194" si="48">SUM(D192:D193)</f>
        <v>0</v>
      </c>
      <c r="E194" s="432">
        <f t="shared" si="48"/>
        <v>0</v>
      </c>
      <c r="F194" s="18">
        <f t="shared" si="48"/>
        <v>172</v>
      </c>
      <c r="G194" s="18">
        <f t="shared" si="48"/>
        <v>172</v>
      </c>
      <c r="H194" s="18">
        <f t="shared" si="48"/>
        <v>172</v>
      </c>
      <c r="I194" s="18">
        <f t="shared" si="48"/>
        <v>172</v>
      </c>
      <c r="J194" s="18">
        <f t="shared" si="48"/>
        <v>172</v>
      </c>
      <c r="K194" s="18">
        <f t="shared" si="48"/>
        <v>172</v>
      </c>
      <c r="L194" s="18">
        <f t="shared" si="48"/>
        <v>172</v>
      </c>
      <c r="M194" s="18">
        <f t="shared" si="48"/>
        <v>172</v>
      </c>
      <c r="N194" s="18">
        <f t="shared" si="48"/>
        <v>172</v>
      </c>
      <c r="O194" s="18">
        <f t="shared" si="48"/>
        <v>172</v>
      </c>
      <c r="P194" s="18">
        <f t="shared" si="48"/>
        <v>172</v>
      </c>
      <c r="Q194" s="18">
        <f t="shared" si="48"/>
        <v>172</v>
      </c>
      <c r="R194" s="248">
        <f>SUM(F194:Q194)</f>
        <v>2064</v>
      </c>
      <c r="S194" s="248">
        <f>SUM(S192:S193)</f>
        <v>2126</v>
      </c>
      <c r="T194" s="248">
        <f>SUM(T192:T193)</f>
        <v>2232</v>
      </c>
    </row>
    <row r="195" spans="1:20" x14ac:dyDescent="0.2">
      <c r="A195" s="247" t="s">
        <v>430</v>
      </c>
      <c r="B195" s="240">
        <v>53801000</v>
      </c>
      <c r="C195" t="s">
        <v>402</v>
      </c>
      <c r="D195" s="385"/>
      <c r="E195" s="385"/>
      <c r="F195" s="8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96"/>
      <c r="S195" s="196"/>
      <c r="T195" s="196"/>
    </row>
    <row r="196" spans="1:20" s="384" customFormat="1" x14ac:dyDescent="0.2">
      <c r="A196" s="382"/>
      <c r="B196" s="383"/>
      <c r="C196" s="384" t="s">
        <v>91</v>
      </c>
      <c r="D196" s="385">
        <v>0</v>
      </c>
      <c r="E196" s="385">
        <v>0</v>
      </c>
      <c r="F196" s="386">
        <v>0</v>
      </c>
      <c r="G196" s="386">
        <v>0</v>
      </c>
      <c r="H196" s="386">
        <v>0</v>
      </c>
      <c r="I196" s="386">
        <v>0</v>
      </c>
      <c r="J196" s="386">
        <v>0</v>
      </c>
      <c r="K196" s="386">
        <v>0</v>
      </c>
      <c r="L196" s="386">
        <v>0</v>
      </c>
      <c r="M196" s="386">
        <v>0</v>
      </c>
      <c r="N196" s="386">
        <v>0</v>
      </c>
      <c r="O196" s="386">
        <v>0</v>
      </c>
      <c r="P196" s="386">
        <v>0</v>
      </c>
      <c r="Q196" s="386">
        <v>0</v>
      </c>
      <c r="R196" s="387">
        <f>SUM(F196:Q196)</f>
        <v>0</v>
      </c>
      <c r="S196" s="388">
        <f>ROUND(R196*1.05,0)</f>
        <v>0</v>
      </c>
      <c r="T196" s="388">
        <f>ROUND(S196*1.05,0)</f>
        <v>0</v>
      </c>
    </row>
    <row r="197" spans="1:20" s="384" customFormat="1" x14ac:dyDescent="0.2">
      <c r="A197" s="382"/>
      <c r="B197" s="383"/>
      <c r="C197" s="384" t="s">
        <v>91</v>
      </c>
      <c r="D197" s="389">
        <v>0</v>
      </c>
      <c r="E197" s="389">
        <v>0</v>
      </c>
      <c r="F197" s="390">
        <v>0</v>
      </c>
      <c r="G197" s="390">
        <v>0</v>
      </c>
      <c r="H197" s="390">
        <v>0</v>
      </c>
      <c r="I197" s="390">
        <v>0</v>
      </c>
      <c r="J197" s="390">
        <v>0</v>
      </c>
      <c r="K197" s="390">
        <v>0</v>
      </c>
      <c r="L197" s="390">
        <v>0</v>
      </c>
      <c r="M197" s="390">
        <v>0</v>
      </c>
      <c r="N197" s="390">
        <v>0</v>
      </c>
      <c r="O197" s="390">
        <v>0</v>
      </c>
      <c r="P197" s="390">
        <v>0</v>
      </c>
      <c r="Q197" s="390">
        <v>0</v>
      </c>
      <c r="R197" s="391">
        <f>SUM(F197:Q197)</f>
        <v>0</v>
      </c>
      <c r="S197" s="392">
        <f>ROUND(R197*1.05,0)</f>
        <v>0</v>
      </c>
      <c r="T197" s="392">
        <f>ROUND(S197*1.05,0)</f>
        <v>0</v>
      </c>
    </row>
    <row r="198" spans="1:20" s="18" customFormat="1" x14ac:dyDescent="0.2">
      <c r="A198" s="324"/>
      <c r="B198" s="325"/>
      <c r="C198" s="18" t="s">
        <v>92</v>
      </c>
      <c r="D198" s="432">
        <f t="shared" ref="D198:Q198" si="49">SUM(D196:D197)</f>
        <v>0</v>
      </c>
      <c r="E198" s="432">
        <f t="shared" si="49"/>
        <v>0</v>
      </c>
      <c r="F198" s="18">
        <f t="shared" si="49"/>
        <v>0</v>
      </c>
      <c r="G198" s="18">
        <f t="shared" si="49"/>
        <v>0</v>
      </c>
      <c r="H198" s="18">
        <f t="shared" si="49"/>
        <v>0</v>
      </c>
      <c r="I198" s="18">
        <f t="shared" si="49"/>
        <v>0</v>
      </c>
      <c r="J198" s="18">
        <f t="shared" si="49"/>
        <v>0</v>
      </c>
      <c r="K198" s="18">
        <f t="shared" si="49"/>
        <v>0</v>
      </c>
      <c r="L198" s="18">
        <f t="shared" si="49"/>
        <v>0</v>
      </c>
      <c r="M198" s="18">
        <f t="shared" si="49"/>
        <v>0</v>
      </c>
      <c r="N198" s="18">
        <f t="shared" si="49"/>
        <v>0</v>
      </c>
      <c r="O198" s="18">
        <f t="shared" si="49"/>
        <v>0</v>
      </c>
      <c r="P198" s="18">
        <f t="shared" si="49"/>
        <v>0</v>
      </c>
      <c r="Q198" s="18">
        <f t="shared" si="49"/>
        <v>0</v>
      </c>
      <c r="R198" s="248">
        <f>SUM(F198:Q198)</f>
        <v>0</v>
      </c>
      <c r="S198" s="248">
        <f>SUM(S196:S197)</f>
        <v>0</v>
      </c>
      <c r="T198" s="248">
        <f>SUM(T196:T197)</f>
        <v>0</v>
      </c>
    </row>
    <row r="199" spans="1:20" x14ac:dyDescent="0.2">
      <c r="A199" s="247" t="s">
        <v>431</v>
      </c>
      <c r="B199" s="240">
        <v>53900000</v>
      </c>
      <c r="C199" t="s">
        <v>403</v>
      </c>
      <c r="D199" s="385"/>
      <c r="E199" s="385"/>
      <c r="F199" s="8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96"/>
      <c r="S199" s="196"/>
      <c r="T199" s="196"/>
    </row>
    <row r="200" spans="1:20" s="384" customFormat="1" x14ac:dyDescent="0.2">
      <c r="A200" s="382"/>
      <c r="B200" s="383"/>
      <c r="C200" s="384" t="s">
        <v>91</v>
      </c>
      <c r="D200" s="385">
        <v>0</v>
      </c>
      <c r="E200" s="385">
        <v>0</v>
      </c>
      <c r="F200" s="386">
        <v>0</v>
      </c>
      <c r="G200" s="386">
        <v>0</v>
      </c>
      <c r="H200" s="386">
        <v>0</v>
      </c>
      <c r="I200" s="386">
        <v>0</v>
      </c>
      <c r="J200" s="386">
        <v>0</v>
      </c>
      <c r="K200" s="386">
        <v>0</v>
      </c>
      <c r="L200" s="386">
        <v>0</v>
      </c>
      <c r="M200" s="386">
        <v>0</v>
      </c>
      <c r="N200" s="386">
        <v>0</v>
      </c>
      <c r="O200" s="386">
        <v>0</v>
      </c>
      <c r="P200" s="386">
        <v>0</v>
      </c>
      <c r="Q200" s="386">
        <v>0</v>
      </c>
      <c r="R200" s="387">
        <f>SUM(F200:Q200)</f>
        <v>0</v>
      </c>
      <c r="S200" s="388">
        <f>ROUND(R200*1.05,0)</f>
        <v>0</v>
      </c>
      <c r="T200" s="388">
        <f>ROUND(S200*1.05,0)</f>
        <v>0</v>
      </c>
    </row>
    <row r="201" spans="1:20" s="384" customFormat="1" x14ac:dyDescent="0.2">
      <c r="A201" s="382"/>
      <c r="B201" s="383"/>
      <c r="C201" s="384" t="s">
        <v>91</v>
      </c>
      <c r="D201" s="389">
        <v>0</v>
      </c>
      <c r="E201" s="389">
        <v>0</v>
      </c>
      <c r="F201" s="390">
        <v>0</v>
      </c>
      <c r="G201" s="390">
        <v>0</v>
      </c>
      <c r="H201" s="390">
        <v>0</v>
      </c>
      <c r="I201" s="390">
        <v>0</v>
      </c>
      <c r="J201" s="390">
        <v>0</v>
      </c>
      <c r="K201" s="390">
        <v>0</v>
      </c>
      <c r="L201" s="390">
        <v>0</v>
      </c>
      <c r="M201" s="390">
        <v>0</v>
      </c>
      <c r="N201" s="390">
        <v>0</v>
      </c>
      <c r="O201" s="390">
        <v>0</v>
      </c>
      <c r="P201" s="390">
        <v>0</v>
      </c>
      <c r="Q201" s="390">
        <v>0</v>
      </c>
      <c r="R201" s="391">
        <f>SUM(F201:Q201)</f>
        <v>0</v>
      </c>
      <c r="S201" s="392">
        <f>ROUND(R201*1.05,0)</f>
        <v>0</v>
      </c>
      <c r="T201" s="392">
        <f>ROUND(S201*1.05,0)</f>
        <v>0</v>
      </c>
    </row>
    <row r="202" spans="1:20" s="18" customFormat="1" x14ac:dyDescent="0.2">
      <c r="A202" s="324"/>
      <c r="B202" s="325"/>
      <c r="C202" s="18" t="s">
        <v>92</v>
      </c>
      <c r="D202" s="432">
        <f t="shared" ref="D202:Q202" si="50">SUM(D200:D201)</f>
        <v>0</v>
      </c>
      <c r="E202" s="432">
        <f t="shared" si="50"/>
        <v>0</v>
      </c>
      <c r="F202" s="18">
        <f t="shared" si="50"/>
        <v>0</v>
      </c>
      <c r="G202" s="18">
        <f t="shared" si="50"/>
        <v>0</v>
      </c>
      <c r="H202" s="18">
        <f t="shared" si="50"/>
        <v>0</v>
      </c>
      <c r="I202" s="18">
        <f t="shared" si="50"/>
        <v>0</v>
      </c>
      <c r="J202" s="18">
        <f t="shared" si="50"/>
        <v>0</v>
      </c>
      <c r="K202" s="18">
        <f t="shared" si="50"/>
        <v>0</v>
      </c>
      <c r="L202" s="18">
        <f t="shared" si="50"/>
        <v>0</v>
      </c>
      <c r="M202" s="18">
        <f t="shared" si="50"/>
        <v>0</v>
      </c>
      <c r="N202" s="18">
        <f t="shared" si="50"/>
        <v>0</v>
      </c>
      <c r="O202" s="18">
        <f t="shared" si="50"/>
        <v>0</v>
      </c>
      <c r="P202" s="18">
        <f t="shared" si="50"/>
        <v>0</v>
      </c>
      <c r="Q202" s="18">
        <f t="shared" si="50"/>
        <v>0</v>
      </c>
      <c r="R202" s="248">
        <f>SUM(F202:Q202)</f>
        <v>0</v>
      </c>
      <c r="S202" s="248">
        <f>SUM(S200:S201)</f>
        <v>0</v>
      </c>
      <c r="T202" s="248">
        <f>SUM(T200:T201)</f>
        <v>0</v>
      </c>
    </row>
    <row r="203" spans="1:20" hidden="1" x14ac:dyDescent="0.2">
      <c r="A203" s="247" t="s">
        <v>432</v>
      </c>
      <c r="B203" s="240">
        <v>54000000</v>
      </c>
      <c r="C203" t="s">
        <v>404</v>
      </c>
      <c r="D203" s="385"/>
      <c r="E203" s="385"/>
      <c r="F203" s="8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96"/>
      <c r="S203" s="196"/>
      <c r="T203" s="196"/>
    </row>
    <row r="204" spans="1:20" hidden="1" x14ac:dyDescent="0.2">
      <c r="A204" s="58"/>
      <c r="B204" s="240"/>
      <c r="C204" t="s">
        <v>91</v>
      </c>
      <c r="D204" s="385">
        <v>0</v>
      </c>
      <c r="E204" s="385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196">
        <f>SUM(F204:Q204)</f>
        <v>0</v>
      </c>
      <c r="S204" s="203">
        <v>0</v>
      </c>
      <c r="T204" s="203">
        <v>0</v>
      </c>
    </row>
    <row r="205" spans="1:20" hidden="1" x14ac:dyDescent="0.2">
      <c r="A205" s="58"/>
      <c r="B205" s="240"/>
      <c r="C205" t="s">
        <v>91</v>
      </c>
      <c r="D205" s="389">
        <v>0</v>
      </c>
      <c r="E205" s="389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300">
        <f>SUM(F205:Q205)</f>
        <v>0</v>
      </c>
      <c r="S205" s="205">
        <v>0</v>
      </c>
      <c r="T205" s="205">
        <v>0</v>
      </c>
    </row>
    <row r="206" spans="1:20" s="18" customFormat="1" hidden="1" x14ac:dyDescent="0.2">
      <c r="A206" s="324"/>
      <c r="B206" s="325"/>
      <c r="C206" s="18" t="s">
        <v>92</v>
      </c>
      <c r="D206" s="432">
        <f t="shared" ref="D206:Q206" si="51">SUM(D204:D205)</f>
        <v>0</v>
      </c>
      <c r="E206" s="432">
        <f t="shared" si="51"/>
        <v>0</v>
      </c>
      <c r="F206" s="18">
        <f t="shared" si="51"/>
        <v>0</v>
      </c>
      <c r="G206" s="18">
        <f t="shared" si="51"/>
        <v>0</v>
      </c>
      <c r="H206" s="18">
        <f t="shared" si="51"/>
        <v>0</v>
      </c>
      <c r="I206" s="18">
        <f t="shared" si="51"/>
        <v>0</v>
      </c>
      <c r="J206" s="18">
        <f t="shared" si="51"/>
        <v>0</v>
      </c>
      <c r="K206" s="18">
        <f t="shared" si="51"/>
        <v>0</v>
      </c>
      <c r="L206" s="18">
        <f t="shared" si="51"/>
        <v>0</v>
      </c>
      <c r="M206" s="18">
        <f t="shared" si="51"/>
        <v>0</v>
      </c>
      <c r="N206" s="18">
        <f t="shared" si="51"/>
        <v>0</v>
      </c>
      <c r="O206" s="18">
        <f t="shared" si="51"/>
        <v>0</v>
      </c>
      <c r="P206" s="18">
        <f t="shared" si="51"/>
        <v>0</v>
      </c>
      <c r="Q206" s="18">
        <f t="shared" si="51"/>
        <v>0</v>
      </c>
      <c r="R206" s="248">
        <f>SUM(F206:Q206)</f>
        <v>0</v>
      </c>
      <c r="S206" s="248">
        <f>SUM(S204:S205)</f>
        <v>0</v>
      </c>
      <c r="T206" s="248">
        <f>SUM(T204:T205)</f>
        <v>0</v>
      </c>
    </row>
    <row r="207" spans="1:20" hidden="1" x14ac:dyDescent="0.2">
      <c r="A207" s="16"/>
      <c r="B207" s="240"/>
      <c r="D207" s="385"/>
      <c r="E207" s="385"/>
      <c r="F207" s="8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96"/>
      <c r="S207" s="196"/>
      <c r="T207" s="196"/>
    </row>
    <row r="208" spans="1:20" hidden="1" x14ac:dyDescent="0.2">
      <c r="A208" s="58"/>
      <c r="B208" s="240"/>
      <c r="C208" t="s">
        <v>91</v>
      </c>
      <c r="D208" s="385">
        <v>0</v>
      </c>
      <c r="E208" s="385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196">
        <f>SUM(F208:Q208)</f>
        <v>0</v>
      </c>
      <c r="S208" s="203">
        <v>0</v>
      </c>
      <c r="T208" s="203">
        <v>0</v>
      </c>
    </row>
    <row r="209" spans="1:20" hidden="1" x14ac:dyDescent="0.2">
      <c r="A209" s="58"/>
      <c r="B209" s="240"/>
      <c r="C209" t="s">
        <v>91</v>
      </c>
      <c r="D209" s="389">
        <v>0</v>
      </c>
      <c r="E209" s="389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300">
        <f>SUM(F209:Q209)</f>
        <v>0</v>
      </c>
      <c r="S209" s="205">
        <v>0</v>
      </c>
      <c r="T209" s="205">
        <v>0</v>
      </c>
    </row>
    <row r="210" spans="1:20" s="18" customFormat="1" hidden="1" x14ac:dyDescent="0.2">
      <c r="A210" s="324"/>
      <c r="B210" s="325"/>
      <c r="C210" s="18" t="s">
        <v>92</v>
      </c>
      <c r="D210" s="432">
        <f t="shared" ref="D210:Q210" si="52">SUM(D208:D209)</f>
        <v>0</v>
      </c>
      <c r="E210" s="432">
        <f t="shared" si="52"/>
        <v>0</v>
      </c>
      <c r="F210" s="18">
        <f t="shared" si="52"/>
        <v>0</v>
      </c>
      <c r="G210" s="18">
        <f t="shared" si="52"/>
        <v>0</v>
      </c>
      <c r="H210" s="18">
        <f t="shared" si="52"/>
        <v>0</v>
      </c>
      <c r="I210" s="18">
        <f t="shared" si="52"/>
        <v>0</v>
      </c>
      <c r="J210" s="18">
        <f t="shared" si="52"/>
        <v>0</v>
      </c>
      <c r="K210" s="18">
        <f t="shared" si="52"/>
        <v>0</v>
      </c>
      <c r="L210" s="18">
        <f t="shared" si="52"/>
        <v>0</v>
      </c>
      <c r="M210" s="18">
        <f t="shared" si="52"/>
        <v>0</v>
      </c>
      <c r="N210" s="18">
        <f t="shared" si="52"/>
        <v>0</v>
      </c>
      <c r="O210" s="18">
        <f t="shared" si="52"/>
        <v>0</v>
      </c>
      <c r="P210" s="18">
        <f t="shared" si="52"/>
        <v>0</v>
      </c>
      <c r="Q210" s="18">
        <f t="shared" si="52"/>
        <v>0</v>
      </c>
      <c r="R210" s="248">
        <f>SUM(F210:Q210)</f>
        <v>0</v>
      </c>
      <c r="S210" s="248">
        <f>SUM(S208:S209)</f>
        <v>0</v>
      </c>
      <c r="T210" s="248">
        <f>SUM(T208:T209)</f>
        <v>0</v>
      </c>
    </row>
    <row r="211" spans="1:20" x14ac:dyDescent="0.2">
      <c r="A211" s="16"/>
      <c r="B211" s="240"/>
      <c r="D211" s="385"/>
      <c r="E211" s="385"/>
      <c r="F211" s="8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96"/>
      <c r="S211" s="196"/>
      <c r="T211" s="196"/>
    </row>
    <row r="212" spans="1:20" s="77" customFormat="1" ht="15.75" x14ac:dyDescent="0.25">
      <c r="A212" s="88"/>
      <c r="B212" s="314"/>
      <c r="C212" s="77" t="s">
        <v>388</v>
      </c>
      <c r="D212" s="435">
        <f t="shared" ref="D212:T212" si="53">+D82+D86+D90+D94+D98+D102+D106+D110+D114+D118+D122+D126+D130+D134+D138+D142+D146+D150+D154+D158+D162+D170+D174+D178+D182+D186+D190+D194+D198+D202+D206+D210</f>
        <v>261912</v>
      </c>
      <c r="E212" s="435">
        <f t="shared" si="53"/>
        <v>363094</v>
      </c>
      <c r="F212" s="331">
        <f t="shared" si="53"/>
        <v>34213.666666666664</v>
      </c>
      <c r="G212" s="331">
        <f t="shared" si="53"/>
        <v>34213.666666666664</v>
      </c>
      <c r="H212" s="331">
        <f t="shared" si="53"/>
        <v>34213.666666666664</v>
      </c>
      <c r="I212" s="331">
        <f t="shared" si="53"/>
        <v>34213.666666666664</v>
      </c>
      <c r="J212" s="331">
        <f t="shared" si="53"/>
        <v>34213.666666666664</v>
      </c>
      <c r="K212" s="331">
        <f t="shared" si="53"/>
        <v>34213.666666666664</v>
      </c>
      <c r="L212" s="331">
        <f t="shared" si="53"/>
        <v>34213.666666666664</v>
      </c>
      <c r="M212" s="331">
        <f t="shared" si="53"/>
        <v>34213.666666666664</v>
      </c>
      <c r="N212" s="331">
        <f t="shared" si="53"/>
        <v>34213.666666666664</v>
      </c>
      <c r="O212" s="331">
        <f t="shared" si="53"/>
        <v>34213.666666666664</v>
      </c>
      <c r="P212" s="331">
        <f t="shared" si="53"/>
        <v>34213.666666666664</v>
      </c>
      <c r="Q212" s="332">
        <f t="shared" si="53"/>
        <v>34213.666666666664</v>
      </c>
      <c r="R212" s="330">
        <f t="shared" si="53"/>
        <v>410564</v>
      </c>
      <c r="S212" s="330">
        <f t="shared" si="53"/>
        <v>424753</v>
      </c>
      <c r="T212" s="201">
        <f t="shared" si="53"/>
        <v>445991</v>
      </c>
    </row>
    <row r="213" spans="1:20" s="77" customFormat="1" ht="15.75" x14ac:dyDescent="0.25">
      <c r="A213" s="88"/>
      <c r="B213" s="314"/>
      <c r="D213" s="437"/>
      <c r="E213" s="438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202"/>
      <c r="S213" s="202"/>
      <c r="T213" s="202"/>
    </row>
    <row r="214" spans="1:20" x14ac:dyDescent="0.2">
      <c r="A214" s="58"/>
      <c r="B214" s="240"/>
      <c r="C214" s="18"/>
      <c r="D214" s="385"/>
      <c r="E214" s="38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96"/>
      <c r="S214" s="196"/>
      <c r="T214" s="196"/>
    </row>
    <row r="215" spans="1:20" ht="15.75" x14ac:dyDescent="0.25">
      <c r="A215" s="87"/>
      <c r="B215" s="313" t="s">
        <v>110</v>
      </c>
      <c r="C215" s="301"/>
      <c r="D215" s="385"/>
      <c r="E215" s="38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96"/>
      <c r="S215" s="196"/>
      <c r="T215" s="196"/>
    </row>
    <row r="216" spans="1:20" s="384" customFormat="1" x14ac:dyDescent="0.2">
      <c r="A216" s="397" t="s">
        <v>112</v>
      </c>
      <c r="B216" s="383">
        <v>52502000</v>
      </c>
      <c r="C216" s="384" t="s">
        <v>113</v>
      </c>
      <c r="D216" s="388">
        <v>54996</v>
      </c>
      <c r="E216" s="388">
        <v>74818</v>
      </c>
      <c r="F216" s="398">
        <v>24704</v>
      </c>
      <c r="G216" s="398">
        <v>24704</v>
      </c>
      <c r="H216" s="398">
        <v>24704</v>
      </c>
      <c r="I216" s="398">
        <v>24704</v>
      </c>
      <c r="J216" s="398">
        <v>24704</v>
      </c>
      <c r="K216" s="398">
        <v>24704</v>
      </c>
      <c r="L216" s="398">
        <v>24704</v>
      </c>
      <c r="M216" s="398">
        <v>24704</v>
      </c>
      <c r="N216" s="398">
        <v>24704</v>
      </c>
      <c r="O216" s="398">
        <v>24704</v>
      </c>
      <c r="P216" s="398">
        <v>24704</v>
      </c>
      <c r="Q216" s="398">
        <v>24704</v>
      </c>
      <c r="R216" s="387">
        <f>SUM(F216:Q216)</f>
        <v>296448</v>
      </c>
      <c r="S216" s="388">
        <f>ROUND(R216*1.05,0)</f>
        <v>311270</v>
      </c>
      <c r="T216" s="388">
        <f>ROUND(S216*1.05,0)</f>
        <v>326834</v>
      </c>
    </row>
    <row r="217" spans="1:20" s="384" customFormat="1" x14ac:dyDescent="0.2">
      <c r="A217" s="397">
        <v>810</v>
      </c>
      <c r="B217" s="383">
        <v>52502500</v>
      </c>
      <c r="C217" s="384" t="s">
        <v>111</v>
      </c>
      <c r="D217" s="388">
        <v>75000</v>
      </c>
      <c r="E217" s="388">
        <v>203520</v>
      </c>
      <c r="F217" s="398">
        <v>16960</v>
      </c>
      <c r="G217" s="398">
        <v>16960</v>
      </c>
      <c r="H217" s="398">
        <v>16960</v>
      </c>
      <c r="I217" s="398">
        <v>16960</v>
      </c>
      <c r="J217" s="398">
        <v>16960</v>
      </c>
      <c r="K217" s="398">
        <v>16960</v>
      </c>
      <c r="L217" s="398">
        <v>16960</v>
      </c>
      <c r="M217" s="398">
        <v>16960</v>
      </c>
      <c r="N217" s="398">
        <v>16960</v>
      </c>
      <c r="O217" s="398">
        <v>16960</v>
      </c>
      <c r="P217" s="398">
        <v>16960</v>
      </c>
      <c r="Q217" s="398">
        <v>16960</v>
      </c>
      <c r="R217" s="387">
        <f>SUM(F217:Q217)</f>
        <v>203520</v>
      </c>
      <c r="S217" s="388">
        <f>ROUND(R217*1.05,0)</f>
        <v>213696</v>
      </c>
      <c r="T217" s="388">
        <f>ROUND(S217*1.05,0)</f>
        <v>224381</v>
      </c>
    </row>
    <row r="218" spans="1:20" s="384" customFormat="1" x14ac:dyDescent="0.2">
      <c r="A218" s="397"/>
      <c r="B218" s="383">
        <v>52503000</v>
      </c>
      <c r="C218" s="384" t="s">
        <v>368</v>
      </c>
      <c r="D218" s="388">
        <v>188040</v>
      </c>
      <c r="E218" s="388">
        <v>372261</v>
      </c>
      <c r="F218" s="398">
        <v>15670</v>
      </c>
      <c r="G218" s="398">
        <v>15670</v>
      </c>
      <c r="H218" s="398">
        <v>15670</v>
      </c>
      <c r="I218" s="398">
        <v>15670</v>
      </c>
      <c r="J218" s="398">
        <v>15670</v>
      </c>
      <c r="K218" s="398">
        <v>15670</v>
      </c>
      <c r="L218" s="398">
        <v>15670</v>
      </c>
      <c r="M218" s="398">
        <v>15670</v>
      </c>
      <c r="N218" s="398">
        <v>15670</v>
      </c>
      <c r="O218" s="398">
        <v>15670</v>
      </c>
      <c r="P218" s="398">
        <v>15670</v>
      </c>
      <c r="Q218" s="398">
        <v>15670</v>
      </c>
      <c r="R218" s="387">
        <f>SUM(F218:Q218)</f>
        <v>188040</v>
      </c>
      <c r="S218" s="392">
        <v>194000</v>
      </c>
      <c r="T218" s="392">
        <v>199000</v>
      </c>
    </row>
    <row r="219" spans="1:20" s="77" customFormat="1" ht="15.75" x14ac:dyDescent="0.25">
      <c r="A219" s="88"/>
      <c r="B219" s="314"/>
      <c r="C219" s="77" t="s">
        <v>454</v>
      </c>
      <c r="D219" s="435">
        <f>SUM(D216:D218)</f>
        <v>318036</v>
      </c>
      <c r="E219" s="435">
        <f>SUM(E216:E218)</f>
        <v>650599</v>
      </c>
      <c r="F219" s="331">
        <f>SUM(F216:F218)</f>
        <v>57334</v>
      </c>
      <c r="G219" s="331">
        <f t="shared" ref="G219:Q219" si="54">SUM(G216:G218)</f>
        <v>57334</v>
      </c>
      <c r="H219" s="331">
        <f t="shared" si="54"/>
        <v>57334</v>
      </c>
      <c r="I219" s="331">
        <f t="shared" si="54"/>
        <v>57334</v>
      </c>
      <c r="J219" s="331">
        <f t="shared" si="54"/>
        <v>57334</v>
      </c>
      <c r="K219" s="331">
        <f t="shared" si="54"/>
        <v>57334</v>
      </c>
      <c r="L219" s="331">
        <f t="shared" si="54"/>
        <v>57334</v>
      </c>
      <c r="M219" s="331">
        <f t="shared" si="54"/>
        <v>57334</v>
      </c>
      <c r="N219" s="331">
        <f t="shared" si="54"/>
        <v>57334</v>
      </c>
      <c r="O219" s="331">
        <f t="shared" si="54"/>
        <v>57334</v>
      </c>
      <c r="P219" s="331">
        <f t="shared" si="54"/>
        <v>57334</v>
      </c>
      <c r="Q219" s="331">
        <f t="shared" si="54"/>
        <v>57334</v>
      </c>
      <c r="R219" s="330">
        <f>SUM(R216:R218)</f>
        <v>688008</v>
      </c>
      <c r="S219" s="330">
        <f>SUM(S216:S218)</f>
        <v>718966</v>
      </c>
      <c r="T219" s="330">
        <f>SUM(T216:T218)</f>
        <v>750215</v>
      </c>
    </row>
    <row r="220" spans="1:20" x14ac:dyDescent="0.2">
      <c r="A220" s="58"/>
      <c r="B220" s="240"/>
      <c r="D220" s="387"/>
      <c r="E220" s="387"/>
      <c r="F220"/>
      <c r="G220"/>
      <c r="H220"/>
      <c r="I220"/>
      <c r="J220"/>
      <c r="K220"/>
      <c r="L220"/>
      <c r="M220"/>
      <c r="N220"/>
      <c r="O220"/>
      <c r="P220"/>
      <c r="Q220"/>
      <c r="R220" s="196"/>
      <c r="S220" s="196"/>
      <c r="T220" s="196"/>
    </row>
    <row r="221" spans="1:20" s="76" customFormat="1" x14ac:dyDescent="0.2">
      <c r="A221" s="85"/>
      <c r="B221" s="312"/>
      <c r="D221" s="406"/>
      <c r="E221" s="406"/>
      <c r="R221" s="199"/>
      <c r="S221" s="199"/>
      <c r="T221" s="199"/>
    </row>
    <row r="222" spans="1:20" ht="15.75" x14ac:dyDescent="0.25">
      <c r="A222" s="90"/>
      <c r="B222" s="315" t="s">
        <v>408</v>
      </c>
      <c r="C222" s="301"/>
      <c r="D222" s="385"/>
      <c r="E222" s="38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196"/>
      <c r="S222" s="196"/>
      <c r="T222" s="196"/>
    </row>
    <row r="223" spans="1:20" x14ac:dyDescent="0.2">
      <c r="A223" s="16">
        <v>553</v>
      </c>
      <c r="B223" s="240">
        <v>45019000</v>
      </c>
      <c r="C223" t="s">
        <v>104</v>
      </c>
      <c r="D223" s="385"/>
      <c r="E223" s="385"/>
      <c r="F223" s="8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96"/>
      <c r="S223" s="196"/>
      <c r="T223" s="196"/>
    </row>
    <row r="224" spans="1:20" s="384" customFormat="1" x14ac:dyDescent="0.2">
      <c r="A224" s="382"/>
      <c r="B224" s="383"/>
      <c r="C224" s="384" t="s">
        <v>91</v>
      </c>
      <c r="D224" s="385">
        <v>0</v>
      </c>
      <c r="E224" s="385">
        <v>0</v>
      </c>
      <c r="F224" s="386">
        <v>0</v>
      </c>
      <c r="G224" s="386">
        <v>0</v>
      </c>
      <c r="H224" s="386">
        <v>0</v>
      </c>
      <c r="I224" s="386">
        <v>0</v>
      </c>
      <c r="J224" s="386">
        <v>0</v>
      </c>
      <c r="K224" s="386">
        <v>0</v>
      </c>
      <c r="L224" s="386">
        <v>0</v>
      </c>
      <c r="M224" s="386">
        <v>0</v>
      </c>
      <c r="N224" s="386">
        <v>0</v>
      </c>
      <c r="O224" s="386">
        <v>0</v>
      </c>
      <c r="P224" s="386">
        <v>0</v>
      </c>
      <c r="Q224" s="386">
        <v>0</v>
      </c>
      <c r="R224" s="387">
        <f>SUM(F224:Q224)</f>
        <v>0</v>
      </c>
      <c r="S224" s="388">
        <f>ROUND(R224*1.05,0)</f>
        <v>0</v>
      </c>
      <c r="T224" s="388">
        <f>ROUND(S224*1.05,0)</f>
        <v>0</v>
      </c>
    </row>
    <row r="225" spans="1:20" s="384" customFormat="1" x14ac:dyDescent="0.2">
      <c r="A225" s="382"/>
      <c r="B225" s="383"/>
      <c r="C225" s="384" t="s">
        <v>91</v>
      </c>
      <c r="D225" s="389">
        <v>0</v>
      </c>
      <c r="E225" s="389">
        <v>0</v>
      </c>
      <c r="F225" s="390">
        <v>0</v>
      </c>
      <c r="G225" s="390">
        <v>0</v>
      </c>
      <c r="H225" s="390">
        <v>0</v>
      </c>
      <c r="I225" s="390">
        <v>0</v>
      </c>
      <c r="J225" s="390">
        <v>0</v>
      </c>
      <c r="K225" s="390">
        <v>0</v>
      </c>
      <c r="L225" s="390">
        <v>0</v>
      </c>
      <c r="M225" s="390">
        <v>0</v>
      </c>
      <c r="N225" s="390">
        <v>0</v>
      </c>
      <c r="O225" s="390">
        <v>0</v>
      </c>
      <c r="P225" s="390">
        <v>0</v>
      </c>
      <c r="Q225" s="390">
        <v>0</v>
      </c>
      <c r="R225" s="391">
        <f>SUM(F225:Q225)</f>
        <v>0</v>
      </c>
      <c r="S225" s="392">
        <f>ROUND(R225*1.05,0)</f>
        <v>0</v>
      </c>
      <c r="T225" s="392">
        <f>ROUND(S225*1.05,0)</f>
        <v>0</v>
      </c>
    </row>
    <row r="226" spans="1:20" s="18" customFormat="1" x14ac:dyDescent="0.2">
      <c r="A226" s="324"/>
      <c r="B226" s="325"/>
      <c r="C226" s="18" t="s">
        <v>92</v>
      </c>
      <c r="D226" s="432">
        <f t="shared" ref="D226:Q226" si="55">SUM(D224:D225)</f>
        <v>0</v>
      </c>
      <c r="E226" s="432">
        <f t="shared" si="55"/>
        <v>0</v>
      </c>
      <c r="F226" s="18">
        <f t="shared" si="55"/>
        <v>0</v>
      </c>
      <c r="G226" s="18">
        <f t="shared" si="55"/>
        <v>0</v>
      </c>
      <c r="H226" s="18">
        <f t="shared" si="55"/>
        <v>0</v>
      </c>
      <c r="I226" s="18">
        <f t="shared" si="55"/>
        <v>0</v>
      </c>
      <c r="J226" s="18">
        <f t="shared" si="55"/>
        <v>0</v>
      </c>
      <c r="K226" s="18">
        <f t="shared" si="55"/>
        <v>0</v>
      </c>
      <c r="L226" s="18">
        <f t="shared" si="55"/>
        <v>0</v>
      </c>
      <c r="M226" s="18">
        <f t="shared" si="55"/>
        <v>0</v>
      </c>
      <c r="N226" s="18">
        <f t="shared" si="55"/>
        <v>0</v>
      </c>
      <c r="O226" s="18">
        <f t="shared" si="55"/>
        <v>0</v>
      </c>
      <c r="P226" s="18">
        <f t="shared" si="55"/>
        <v>0</v>
      </c>
      <c r="Q226" s="18">
        <f t="shared" si="55"/>
        <v>0</v>
      </c>
      <c r="R226" s="248">
        <f>SUM(F226:Q226)</f>
        <v>0</v>
      </c>
      <c r="S226" s="248">
        <f>SUM(S224:S225)</f>
        <v>0</v>
      </c>
      <c r="T226" s="248">
        <f>SUM(T224:T225)</f>
        <v>0</v>
      </c>
    </row>
    <row r="227" spans="1:20" x14ac:dyDescent="0.2">
      <c r="A227" s="16"/>
      <c r="B227" s="240">
        <v>57000000</v>
      </c>
      <c r="C227" t="s">
        <v>433</v>
      </c>
      <c r="D227" s="385"/>
      <c r="E227" s="385"/>
      <c r="F227" s="8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96"/>
      <c r="S227" s="196"/>
      <c r="T227" s="196"/>
    </row>
    <row r="228" spans="1:20" s="384" customFormat="1" x14ac:dyDescent="0.2">
      <c r="A228" s="382"/>
      <c r="B228" s="383"/>
      <c r="C228" s="384" t="s">
        <v>91</v>
      </c>
      <c r="D228" s="385">
        <v>0</v>
      </c>
      <c r="E228" s="385">
        <v>0</v>
      </c>
      <c r="F228" s="386">
        <v>0</v>
      </c>
      <c r="G228" s="386">
        <v>0</v>
      </c>
      <c r="H228" s="386">
        <v>0</v>
      </c>
      <c r="I228" s="386">
        <v>0</v>
      </c>
      <c r="J228" s="386">
        <v>0</v>
      </c>
      <c r="K228" s="386">
        <v>0</v>
      </c>
      <c r="L228" s="386">
        <v>0</v>
      </c>
      <c r="M228" s="386">
        <v>0</v>
      </c>
      <c r="N228" s="386">
        <v>0</v>
      </c>
      <c r="O228" s="386">
        <v>0</v>
      </c>
      <c r="P228" s="386">
        <v>0</v>
      </c>
      <c r="Q228" s="386">
        <v>0</v>
      </c>
      <c r="R228" s="387">
        <f>SUM(F228:Q228)</f>
        <v>0</v>
      </c>
      <c r="S228" s="388">
        <f>ROUND(R228*1.05,0)</f>
        <v>0</v>
      </c>
      <c r="T228" s="388">
        <f>ROUND(S228*1.05,0)</f>
        <v>0</v>
      </c>
    </row>
    <row r="229" spans="1:20" s="384" customFormat="1" x14ac:dyDescent="0.2">
      <c r="A229" s="382"/>
      <c r="B229" s="383"/>
      <c r="C229" s="384" t="s">
        <v>91</v>
      </c>
      <c r="D229" s="389">
        <v>0</v>
      </c>
      <c r="E229" s="389">
        <v>0</v>
      </c>
      <c r="F229" s="390">
        <v>0</v>
      </c>
      <c r="G229" s="390">
        <v>0</v>
      </c>
      <c r="H229" s="390">
        <v>0</v>
      </c>
      <c r="I229" s="390">
        <v>0</v>
      </c>
      <c r="J229" s="390">
        <v>0</v>
      </c>
      <c r="K229" s="390">
        <v>0</v>
      </c>
      <c r="L229" s="390">
        <v>0</v>
      </c>
      <c r="M229" s="390">
        <v>0</v>
      </c>
      <c r="N229" s="390">
        <v>0</v>
      </c>
      <c r="O229" s="390">
        <v>0</v>
      </c>
      <c r="P229" s="390">
        <v>0</v>
      </c>
      <c r="Q229" s="390">
        <v>0</v>
      </c>
      <c r="R229" s="391">
        <f>SUM(F229:Q229)</f>
        <v>0</v>
      </c>
      <c r="S229" s="392">
        <f>ROUND(R229*1.05,0)</f>
        <v>0</v>
      </c>
      <c r="T229" s="392">
        <f>ROUND(S229*1.05,0)</f>
        <v>0</v>
      </c>
    </row>
    <row r="230" spans="1:20" s="18" customFormat="1" x14ac:dyDescent="0.2">
      <c r="A230" s="324"/>
      <c r="B230" s="325"/>
      <c r="C230" s="18" t="s">
        <v>92</v>
      </c>
      <c r="D230" s="432">
        <f t="shared" ref="D230:Q230" si="56">SUM(D228:D229)</f>
        <v>0</v>
      </c>
      <c r="E230" s="432">
        <f t="shared" si="56"/>
        <v>0</v>
      </c>
      <c r="F230" s="18">
        <f t="shared" si="56"/>
        <v>0</v>
      </c>
      <c r="G230" s="18">
        <f t="shared" si="56"/>
        <v>0</v>
      </c>
      <c r="H230" s="18">
        <f t="shared" si="56"/>
        <v>0</v>
      </c>
      <c r="I230" s="18">
        <f t="shared" si="56"/>
        <v>0</v>
      </c>
      <c r="J230" s="18">
        <f t="shared" si="56"/>
        <v>0</v>
      </c>
      <c r="K230" s="18">
        <f t="shared" si="56"/>
        <v>0</v>
      </c>
      <c r="L230" s="18">
        <f t="shared" si="56"/>
        <v>0</v>
      </c>
      <c r="M230" s="18">
        <f t="shared" si="56"/>
        <v>0</v>
      </c>
      <c r="N230" s="18">
        <f t="shared" si="56"/>
        <v>0</v>
      </c>
      <c r="O230" s="18">
        <f t="shared" si="56"/>
        <v>0</v>
      </c>
      <c r="P230" s="18">
        <f t="shared" si="56"/>
        <v>0</v>
      </c>
      <c r="Q230" s="18">
        <f t="shared" si="56"/>
        <v>0</v>
      </c>
      <c r="R230" s="248">
        <f>SUM(F230:Q230)</f>
        <v>0</v>
      </c>
      <c r="S230" s="248">
        <f>SUM(S228:S229)</f>
        <v>0</v>
      </c>
      <c r="T230" s="248">
        <f>SUM(T228:T229)</f>
        <v>0</v>
      </c>
    </row>
    <row r="231" spans="1:20" hidden="1" x14ac:dyDescent="0.2">
      <c r="A231" s="16"/>
      <c r="B231" s="240">
        <v>57000500</v>
      </c>
      <c r="C231" t="s">
        <v>434</v>
      </c>
      <c r="D231" s="385"/>
      <c r="E231" s="385"/>
      <c r="F231" s="8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96"/>
      <c r="S231" s="196"/>
      <c r="T231" s="196"/>
    </row>
    <row r="232" spans="1:20" hidden="1" x14ac:dyDescent="0.2">
      <c r="A232" s="58"/>
      <c r="B232" s="240"/>
      <c r="C232" t="s">
        <v>91</v>
      </c>
      <c r="D232" s="385">
        <v>0</v>
      </c>
      <c r="E232" s="385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196">
        <f>SUM(F232:Q232)</f>
        <v>0</v>
      </c>
      <c r="S232" s="203">
        <v>0</v>
      </c>
      <c r="T232" s="203">
        <v>0</v>
      </c>
    </row>
    <row r="233" spans="1:20" hidden="1" x14ac:dyDescent="0.2">
      <c r="A233" s="58"/>
      <c r="B233" s="240"/>
      <c r="C233" t="s">
        <v>91</v>
      </c>
      <c r="D233" s="389">
        <v>0</v>
      </c>
      <c r="E233" s="389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300">
        <f>SUM(F233:Q233)</f>
        <v>0</v>
      </c>
      <c r="S233" s="205">
        <v>0</v>
      </c>
      <c r="T233" s="205">
        <v>0</v>
      </c>
    </row>
    <row r="234" spans="1:20" s="18" customFormat="1" hidden="1" x14ac:dyDescent="0.2">
      <c r="A234" s="324"/>
      <c r="B234" s="325"/>
      <c r="C234" s="18" t="s">
        <v>92</v>
      </c>
      <c r="D234" s="432">
        <f t="shared" ref="D234:Q234" si="57">SUM(D232:D233)</f>
        <v>0</v>
      </c>
      <c r="E234" s="432">
        <f t="shared" si="57"/>
        <v>0</v>
      </c>
      <c r="F234" s="18">
        <f t="shared" si="57"/>
        <v>0</v>
      </c>
      <c r="G234" s="18">
        <f t="shared" si="57"/>
        <v>0</v>
      </c>
      <c r="H234" s="18">
        <f t="shared" si="57"/>
        <v>0</v>
      </c>
      <c r="I234" s="18">
        <f t="shared" si="57"/>
        <v>0</v>
      </c>
      <c r="J234" s="18">
        <f t="shared" si="57"/>
        <v>0</v>
      </c>
      <c r="K234" s="18">
        <f t="shared" si="57"/>
        <v>0</v>
      </c>
      <c r="L234" s="18">
        <f t="shared" si="57"/>
        <v>0</v>
      </c>
      <c r="M234" s="18">
        <f t="shared" si="57"/>
        <v>0</v>
      </c>
      <c r="N234" s="18">
        <f t="shared" si="57"/>
        <v>0</v>
      </c>
      <c r="O234" s="18">
        <f t="shared" si="57"/>
        <v>0</v>
      </c>
      <c r="P234" s="18">
        <f t="shared" si="57"/>
        <v>0</v>
      </c>
      <c r="Q234" s="18">
        <f t="shared" si="57"/>
        <v>0</v>
      </c>
      <c r="R234" s="248">
        <f>SUM(F234:Q234)</f>
        <v>0</v>
      </c>
      <c r="S234" s="248">
        <f>SUM(S232:S233)</f>
        <v>0</v>
      </c>
      <c r="T234" s="248">
        <f>SUM(T232:T233)</f>
        <v>0</v>
      </c>
    </row>
    <row r="235" spans="1:20" hidden="1" x14ac:dyDescent="0.2">
      <c r="A235" s="16"/>
      <c r="B235" s="240">
        <v>57001000</v>
      </c>
      <c r="C235" t="s">
        <v>435</v>
      </c>
      <c r="D235" s="385"/>
      <c r="E235" s="385"/>
      <c r="F235" s="8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96"/>
      <c r="S235" s="196"/>
      <c r="T235" s="196"/>
    </row>
    <row r="236" spans="1:20" hidden="1" x14ac:dyDescent="0.2">
      <c r="A236" s="58"/>
      <c r="B236" s="240"/>
      <c r="C236" t="s">
        <v>91</v>
      </c>
      <c r="D236" s="385">
        <v>0</v>
      </c>
      <c r="E236" s="385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196">
        <f>SUM(F236:Q236)</f>
        <v>0</v>
      </c>
      <c r="S236" s="203">
        <v>0</v>
      </c>
      <c r="T236" s="203">
        <v>0</v>
      </c>
    </row>
    <row r="237" spans="1:20" hidden="1" x14ac:dyDescent="0.2">
      <c r="A237" s="58"/>
      <c r="B237" s="240"/>
      <c r="C237" t="s">
        <v>91</v>
      </c>
      <c r="D237" s="389">
        <v>0</v>
      </c>
      <c r="E237" s="389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300">
        <f>SUM(F237:Q237)</f>
        <v>0</v>
      </c>
      <c r="S237" s="205">
        <v>0</v>
      </c>
      <c r="T237" s="205">
        <v>0</v>
      </c>
    </row>
    <row r="238" spans="1:20" s="18" customFormat="1" hidden="1" x14ac:dyDescent="0.2">
      <c r="A238" s="324"/>
      <c r="B238" s="325"/>
      <c r="C238" s="18" t="s">
        <v>92</v>
      </c>
      <c r="D238" s="432">
        <f t="shared" ref="D238:Q238" si="58">SUM(D236:D237)</f>
        <v>0</v>
      </c>
      <c r="E238" s="432">
        <f t="shared" si="58"/>
        <v>0</v>
      </c>
      <c r="F238" s="18">
        <f t="shared" si="58"/>
        <v>0</v>
      </c>
      <c r="G238" s="18">
        <f t="shared" si="58"/>
        <v>0</v>
      </c>
      <c r="H238" s="18">
        <f t="shared" si="58"/>
        <v>0</v>
      </c>
      <c r="I238" s="18">
        <f t="shared" si="58"/>
        <v>0</v>
      </c>
      <c r="J238" s="18">
        <f t="shared" si="58"/>
        <v>0</v>
      </c>
      <c r="K238" s="18">
        <f t="shared" si="58"/>
        <v>0</v>
      </c>
      <c r="L238" s="18">
        <f t="shared" si="58"/>
        <v>0</v>
      </c>
      <c r="M238" s="18">
        <f t="shared" si="58"/>
        <v>0</v>
      </c>
      <c r="N238" s="18">
        <f t="shared" si="58"/>
        <v>0</v>
      </c>
      <c r="O238" s="18">
        <f t="shared" si="58"/>
        <v>0</v>
      </c>
      <c r="P238" s="18">
        <f t="shared" si="58"/>
        <v>0</v>
      </c>
      <c r="Q238" s="18">
        <f t="shared" si="58"/>
        <v>0</v>
      </c>
      <c r="R238" s="248">
        <f>SUM(F238:Q238)</f>
        <v>0</v>
      </c>
      <c r="S238" s="248">
        <f>SUM(S236:S237)</f>
        <v>0</v>
      </c>
      <c r="T238" s="248">
        <f>SUM(T236:T237)</f>
        <v>0</v>
      </c>
    </row>
    <row r="239" spans="1:20" hidden="1" x14ac:dyDescent="0.2">
      <c r="A239" s="16"/>
      <c r="B239" s="240">
        <v>57003000</v>
      </c>
      <c r="C239" t="s">
        <v>436</v>
      </c>
      <c r="D239" s="385"/>
      <c r="E239" s="385"/>
      <c r="F239" s="8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96"/>
      <c r="S239" s="196"/>
      <c r="T239" s="196"/>
    </row>
    <row r="240" spans="1:20" hidden="1" x14ac:dyDescent="0.2">
      <c r="A240" s="58"/>
      <c r="B240" s="240"/>
      <c r="C240" t="s">
        <v>91</v>
      </c>
      <c r="D240" s="385">
        <v>0</v>
      </c>
      <c r="E240" s="385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196">
        <f>SUM(F240:Q240)</f>
        <v>0</v>
      </c>
      <c r="S240" s="203">
        <v>0</v>
      </c>
      <c r="T240" s="203">
        <v>0</v>
      </c>
    </row>
    <row r="241" spans="1:20" hidden="1" x14ac:dyDescent="0.2">
      <c r="A241" s="58"/>
      <c r="B241" s="240"/>
      <c r="C241" t="s">
        <v>91</v>
      </c>
      <c r="D241" s="389">
        <v>0</v>
      </c>
      <c r="E241" s="389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300">
        <f>SUM(F241:Q241)</f>
        <v>0</v>
      </c>
      <c r="S241" s="205">
        <v>0</v>
      </c>
      <c r="T241" s="205">
        <v>0</v>
      </c>
    </row>
    <row r="242" spans="1:20" s="18" customFormat="1" hidden="1" x14ac:dyDescent="0.2">
      <c r="A242" s="324"/>
      <c r="B242" s="325"/>
      <c r="C242" s="18" t="s">
        <v>92</v>
      </c>
      <c r="D242" s="432">
        <f t="shared" ref="D242:Q242" si="59">SUM(D240:D241)</f>
        <v>0</v>
      </c>
      <c r="E242" s="432">
        <f t="shared" si="59"/>
        <v>0</v>
      </c>
      <c r="F242" s="18">
        <f t="shared" si="59"/>
        <v>0</v>
      </c>
      <c r="G242" s="18">
        <f t="shared" si="59"/>
        <v>0</v>
      </c>
      <c r="H242" s="18">
        <f t="shared" si="59"/>
        <v>0</v>
      </c>
      <c r="I242" s="18">
        <f t="shared" si="59"/>
        <v>0</v>
      </c>
      <c r="J242" s="18">
        <f t="shared" si="59"/>
        <v>0</v>
      </c>
      <c r="K242" s="18">
        <f t="shared" si="59"/>
        <v>0</v>
      </c>
      <c r="L242" s="18">
        <f t="shared" si="59"/>
        <v>0</v>
      </c>
      <c r="M242" s="18">
        <f t="shared" si="59"/>
        <v>0</v>
      </c>
      <c r="N242" s="18">
        <f t="shared" si="59"/>
        <v>0</v>
      </c>
      <c r="O242" s="18">
        <f t="shared" si="59"/>
        <v>0</v>
      </c>
      <c r="P242" s="18">
        <f t="shared" si="59"/>
        <v>0</v>
      </c>
      <c r="Q242" s="18">
        <f t="shared" si="59"/>
        <v>0</v>
      </c>
      <c r="R242" s="248">
        <f>SUM(F242:Q242)</f>
        <v>0</v>
      </c>
      <c r="S242" s="248">
        <f>SUM(S240:S241)</f>
        <v>0</v>
      </c>
      <c r="T242" s="248">
        <f>SUM(T240:T241)</f>
        <v>0</v>
      </c>
    </row>
    <row r="243" spans="1:20" hidden="1" x14ac:dyDescent="0.2">
      <c r="A243" s="16"/>
      <c r="B243" s="240">
        <v>57003500</v>
      </c>
      <c r="C243" t="s">
        <v>437</v>
      </c>
      <c r="D243" s="385"/>
      <c r="E243" s="385"/>
      <c r="F243" s="8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96"/>
      <c r="S243" s="196"/>
      <c r="T243" s="196"/>
    </row>
    <row r="244" spans="1:20" hidden="1" x14ac:dyDescent="0.2">
      <c r="A244" s="58"/>
      <c r="B244" s="240"/>
      <c r="C244" t="s">
        <v>91</v>
      </c>
      <c r="D244" s="385">
        <v>0</v>
      </c>
      <c r="E244" s="385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196">
        <f>SUM(F244:Q244)</f>
        <v>0</v>
      </c>
      <c r="S244" s="203">
        <v>0</v>
      </c>
      <c r="T244" s="203">
        <v>0</v>
      </c>
    </row>
    <row r="245" spans="1:20" hidden="1" x14ac:dyDescent="0.2">
      <c r="A245" s="58"/>
      <c r="B245" s="240"/>
      <c r="C245" t="s">
        <v>91</v>
      </c>
      <c r="D245" s="389">
        <v>0</v>
      </c>
      <c r="E245" s="389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300">
        <f>SUM(F245:Q245)</f>
        <v>0</v>
      </c>
      <c r="S245" s="205">
        <v>0</v>
      </c>
      <c r="T245" s="205">
        <v>0</v>
      </c>
    </row>
    <row r="246" spans="1:20" s="18" customFormat="1" hidden="1" x14ac:dyDescent="0.2">
      <c r="A246" s="324"/>
      <c r="B246" s="325"/>
      <c r="C246" s="18" t="s">
        <v>92</v>
      </c>
      <c r="D246" s="432">
        <f t="shared" ref="D246:Q246" si="60">SUM(D244:D245)</f>
        <v>0</v>
      </c>
      <c r="E246" s="432">
        <f t="shared" si="60"/>
        <v>0</v>
      </c>
      <c r="F246" s="18">
        <f t="shared" si="60"/>
        <v>0</v>
      </c>
      <c r="G246" s="18">
        <f t="shared" si="60"/>
        <v>0</v>
      </c>
      <c r="H246" s="18">
        <f t="shared" si="60"/>
        <v>0</v>
      </c>
      <c r="I246" s="18">
        <f t="shared" si="60"/>
        <v>0</v>
      </c>
      <c r="J246" s="18">
        <f t="shared" si="60"/>
        <v>0</v>
      </c>
      <c r="K246" s="18">
        <f t="shared" si="60"/>
        <v>0</v>
      </c>
      <c r="L246" s="18">
        <f t="shared" si="60"/>
        <v>0</v>
      </c>
      <c r="M246" s="18">
        <f t="shared" si="60"/>
        <v>0</v>
      </c>
      <c r="N246" s="18">
        <f t="shared" si="60"/>
        <v>0</v>
      </c>
      <c r="O246" s="18">
        <f t="shared" si="60"/>
        <v>0</v>
      </c>
      <c r="P246" s="18">
        <f t="shared" si="60"/>
        <v>0</v>
      </c>
      <c r="Q246" s="18">
        <f t="shared" si="60"/>
        <v>0</v>
      </c>
      <c r="R246" s="248">
        <f>SUM(F246:Q246)</f>
        <v>0</v>
      </c>
      <c r="S246" s="248">
        <f>SUM(S244:S245)</f>
        <v>0</v>
      </c>
      <c r="T246" s="248">
        <f>SUM(T244:T245)</f>
        <v>0</v>
      </c>
    </row>
    <row r="247" spans="1:20" x14ac:dyDescent="0.2">
      <c r="A247" s="16"/>
      <c r="B247" s="240">
        <v>57004000</v>
      </c>
      <c r="C247" t="s">
        <v>438</v>
      </c>
      <c r="D247" s="385"/>
      <c r="E247" s="385"/>
      <c r="F247" s="8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96"/>
      <c r="S247" s="196"/>
      <c r="T247" s="196"/>
    </row>
    <row r="248" spans="1:20" s="384" customFormat="1" x14ac:dyDescent="0.2">
      <c r="A248" s="382"/>
      <c r="B248" s="383"/>
      <c r="C248" s="384" t="s">
        <v>91</v>
      </c>
      <c r="D248" s="385">
        <v>0</v>
      </c>
      <c r="E248" s="385">
        <v>0</v>
      </c>
      <c r="F248" s="386">
        <v>0</v>
      </c>
      <c r="G248" s="386">
        <v>0</v>
      </c>
      <c r="H248" s="386">
        <v>0</v>
      </c>
      <c r="I248" s="386">
        <v>0</v>
      </c>
      <c r="J248" s="386">
        <v>0</v>
      </c>
      <c r="K248" s="386">
        <v>0</v>
      </c>
      <c r="L248" s="386">
        <v>0</v>
      </c>
      <c r="M248" s="386">
        <v>0</v>
      </c>
      <c r="N248" s="386">
        <v>0</v>
      </c>
      <c r="O248" s="386">
        <v>0</v>
      </c>
      <c r="P248" s="386">
        <v>0</v>
      </c>
      <c r="Q248" s="386">
        <v>0</v>
      </c>
      <c r="R248" s="387">
        <f>SUM(F248:Q248)</f>
        <v>0</v>
      </c>
      <c r="S248" s="388">
        <f>ROUND(R248*1.05,0)</f>
        <v>0</v>
      </c>
      <c r="T248" s="388">
        <f>ROUND(S248*1.05,0)</f>
        <v>0</v>
      </c>
    </row>
    <row r="249" spans="1:20" s="384" customFormat="1" x14ac:dyDescent="0.2">
      <c r="A249" s="382"/>
      <c r="B249" s="383"/>
      <c r="C249" s="384" t="s">
        <v>91</v>
      </c>
      <c r="D249" s="389">
        <v>0</v>
      </c>
      <c r="E249" s="389">
        <v>0</v>
      </c>
      <c r="F249" s="390">
        <v>0</v>
      </c>
      <c r="G249" s="390">
        <v>0</v>
      </c>
      <c r="H249" s="390">
        <v>0</v>
      </c>
      <c r="I249" s="390">
        <v>0</v>
      </c>
      <c r="J249" s="390">
        <v>0</v>
      </c>
      <c r="K249" s="390">
        <v>0</v>
      </c>
      <c r="L249" s="390">
        <v>0</v>
      </c>
      <c r="M249" s="390">
        <v>0</v>
      </c>
      <c r="N249" s="390">
        <v>0</v>
      </c>
      <c r="O249" s="390">
        <v>0</v>
      </c>
      <c r="P249" s="390">
        <v>0</v>
      </c>
      <c r="Q249" s="390">
        <v>0</v>
      </c>
      <c r="R249" s="391">
        <f>SUM(F249:Q249)</f>
        <v>0</v>
      </c>
      <c r="S249" s="392">
        <f>ROUND(R249*1.05,0)</f>
        <v>0</v>
      </c>
      <c r="T249" s="392">
        <f>ROUND(S249*1.05,0)</f>
        <v>0</v>
      </c>
    </row>
    <row r="250" spans="1:20" s="18" customFormat="1" x14ac:dyDescent="0.2">
      <c r="A250" s="324"/>
      <c r="B250" s="325"/>
      <c r="C250" s="18" t="s">
        <v>92</v>
      </c>
      <c r="D250" s="432">
        <f t="shared" ref="D250:Q250" si="61">SUM(D248:D249)</f>
        <v>0</v>
      </c>
      <c r="E250" s="432">
        <f t="shared" si="61"/>
        <v>0</v>
      </c>
      <c r="F250" s="18">
        <f t="shared" si="61"/>
        <v>0</v>
      </c>
      <c r="G250" s="18">
        <f t="shared" si="61"/>
        <v>0</v>
      </c>
      <c r="H250" s="18">
        <f t="shared" si="61"/>
        <v>0</v>
      </c>
      <c r="I250" s="18">
        <f t="shared" si="61"/>
        <v>0</v>
      </c>
      <c r="J250" s="18">
        <f t="shared" si="61"/>
        <v>0</v>
      </c>
      <c r="K250" s="18">
        <f t="shared" si="61"/>
        <v>0</v>
      </c>
      <c r="L250" s="18">
        <f t="shared" si="61"/>
        <v>0</v>
      </c>
      <c r="M250" s="18">
        <f t="shared" si="61"/>
        <v>0</v>
      </c>
      <c r="N250" s="18">
        <f t="shared" si="61"/>
        <v>0</v>
      </c>
      <c r="O250" s="18">
        <f t="shared" si="61"/>
        <v>0</v>
      </c>
      <c r="P250" s="18">
        <f t="shared" si="61"/>
        <v>0</v>
      </c>
      <c r="Q250" s="18">
        <f t="shared" si="61"/>
        <v>0</v>
      </c>
      <c r="R250" s="248">
        <f>SUM(F250:Q250)</f>
        <v>0</v>
      </c>
      <c r="S250" s="248">
        <f>SUM(S248:S249)</f>
        <v>0</v>
      </c>
      <c r="T250" s="248">
        <f>SUM(T248:T249)</f>
        <v>0</v>
      </c>
    </row>
    <row r="251" spans="1:20" hidden="1" x14ac:dyDescent="0.2">
      <c r="A251" s="16"/>
      <c r="B251" s="240">
        <v>57100000</v>
      </c>
      <c r="C251" t="s">
        <v>439</v>
      </c>
      <c r="D251" s="385"/>
      <c r="E251" s="385"/>
      <c r="F251" s="8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96"/>
      <c r="S251" s="196"/>
      <c r="T251" s="196"/>
    </row>
    <row r="252" spans="1:20" hidden="1" x14ac:dyDescent="0.2">
      <c r="A252" s="58"/>
      <c r="B252" s="240"/>
      <c r="C252" t="s">
        <v>91</v>
      </c>
      <c r="D252" s="385">
        <v>0</v>
      </c>
      <c r="E252" s="385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196">
        <f>SUM(F252:Q252)</f>
        <v>0</v>
      </c>
      <c r="S252" s="203">
        <v>0</v>
      </c>
      <c r="T252" s="203">
        <v>0</v>
      </c>
    </row>
    <row r="253" spans="1:20" hidden="1" x14ac:dyDescent="0.2">
      <c r="A253" s="58"/>
      <c r="B253" s="240"/>
      <c r="C253" t="s">
        <v>91</v>
      </c>
      <c r="D253" s="389">
        <v>0</v>
      </c>
      <c r="E253" s="389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300">
        <f>SUM(F253:Q253)</f>
        <v>0</v>
      </c>
      <c r="S253" s="205">
        <v>0</v>
      </c>
      <c r="T253" s="205">
        <v>0</v>
      </c>
    </row>
    <row r="254" spans="1:20" s="18" customFormat="1" hidden="1" x14ac:dyDescent="0.2">
      <c r="A254" s="324"/>
      <c r="B254" s="325"/>
      <c r="C254" s="18" t="s">
        <v>92</v>
      </c>
      <c r="D254" s="432">
        <f t="shared" ref="D254:Q254" si="62">SUM(D252:D253)</f>
        <v>0</v>
      </c>
      <c r="E254" s="432">
        <f t="shared" si="62"/>
        <v>0</v>
      </c>
      <c r="F254" s="18">
        <f t="shared" si="62"/>
        <v>0</v>
      </c>
      <c r="G254" s="18">
        <f t="shared" si="62"/>
        <v>0</v>
      </c>
      <c r="H254" s="18">
        <f t="shared" si="62"/>
        <v>0</v>
      </c>
      <c r="I254" s="18">
        <f t="shared" si="62"/>
        <v>0</v>
      </c>
      <c r="J254" s="18">
        <f t="shared" si="62"/>
        <v>0</v>
      </c>
      <c r="K254" s="18">
        <f t="shared" si="62"/>
        <v>0</v>
      </c>
      <c r="L254" s="18">
        <f t="shared" si="62"/>
        <v>0</v>
      </c>
      <c r="M254" s="18">
        <f t="shared" si="62"/>
        <v>0</v>
      </c>
      <c r="N254" s="18">
        <f t="shared" si="62"/>
        <v>0</v>
      </c>
      <c r="O254" s="18">
        <f t="shared" si="62"/>
        <v>0</v>
      </c>
      <c r="P254" s="18">
        <f t="shared" si="62"/>
        <v>0</v>
      </c>
      <c r="Q254" s="18">
        <f t="shared" si="62"/>
        <v>0</v>
      </c>
      <c r="R254" s="248">
        <f>SUM(F254:Q254)</f>
        <v>0</v>
      </c>
      <c r="S254" s="248">
        <f>SUM(S252:S253)</f>
        <v>0</v>
      </c>
      <c r="T254" s="248">
        <f>SUM(T252:T253)</f>
        <v>0</v>
      </c>
    </row>
    <row r="255" spans="1:20" hidden="1" x14ac:dyDescent="0.2">
      <c r="A255" s="16"/>
      <c r="B255" s="240">
        <v>57200000</v>
      </c>
      <c r="C255" t="s">
        <v>440</v>
      </c>
      <c r="D255" s="385"/>
      <c r="E255" s="385"/>
      <c r="F255" s="8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96"/>
      <c r="S255" s="196"/>
      <c r="T255" s="196"/>
    </row>
    <row r="256" spans="1:20" hidden="1" x14ac:dyDescent="0.2">
      <c r="A256" s="58"/>
      <c r="B256" s="240"/>
      <c r="C256" t="s">
        <v>91</v>
      </c>
      <c r="D256" s="385">
        <v>0</v>
      </c>
      <c r="E256" s="385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196">
        <f>SUM(F256:Q256)</f>
        <v>0</v>
      </c>
      <c r="S256" s="203">
        <v>0</v>
      </c>
      <c r="T256" s="203">
        <v>0</v>
      </c>
    </row>
    <row r="257" spans="1:20" hidden="1" x14ac:dyDescent="0.2">
      <c r="A257" s="58"/>
      <c r="B257" s="240"/>
      <c r="C257" t="s">
        <v>91</v>
      </c>
      <c r="D257" s="389">
        <v>0</v>
      </c>
      <c r="E257" s="389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300">
        <f>SUM(F257:Q257)</f>
        <v>0</v>
      </c>
      <c r="S257" s="205">
        <v>0</v>
      </c>
      <c r="T257" s="205">
        <v>0</v>
      </c>
    </row>
    <row r="258" spans="1:20" s="18" customFormat="1" hidden="1" x14ac:dyDescent="0.2">
      <c r="A258" s="324"/>
      <c r="B258" s="325"/>
      <c r="C258" s="18" t="s">
        <v>92</v>
      </c>
      <c r="D258" s="432">
        <f t="shared" ref="D258:Q258" si="63">SUM(D256:D257)</f>
        <v>0</v>
      </c>
      <c r="E258" s="432">
        <f t="shared" si="63"/>
        <v>0</v>
      </c>
      <c r="F258" s="18">
        <f t="shared" si="63"/>
        <v>0</v>
      </c>
      <c r="G258" s="18">
        <f t="shared" si="63"/>
        <v>0</v>
      </c>
      <c r="H258" s="18">
        <f t="shared" si="63"/>
        <v>0</v>
      </c>
      <c r="I258" s="18">
        <f t="shared" si="63"/>
        <v>0</v>
      </c>
      <c r="J258" s="18">
        <f t="shared" si="63"/>
        <v>0</v>
      </c>
      <c r="K258" s="18">
        <f t="shared" si="63"/>
        <v>0</v>
      </c>
      <c r="L258" s="18">
        <f t="shared" si="63"/>
        <v>0</v>
      </c>
      <c r="M258" s="18">
        <f t="shared" si="63"/>
        <v>0</v>
      </c>
      <c r="N258" s="18">
        <f t="shared" si="63"/>
        <v>0</v>
      </c>
      <c r="O258" s="18">
        <f t="shared" si="63"/>
        <v>0</v>
      </c>
      <c r="P258" s="18">
        <f t="shared" si="63"/>
        <v>0</v>
      </c>
      <c r="Q258" s="18">
        <f t="shared" si="63"/>
        <v>0</v>
      </c>
      <c r="R258" s="248">
        <f>SUM(F258:Q258)</f>
        <v>0</v>
      </c>
      <c r="S258" s="248">
        <f>SUM(S256:S257)</f>
        <v>0</v>
      </c>
      <c r="T258" s="248">
        <f>SUM(T256:T257)</f>
        <v>0</v>
      </c>
    </row>
    <row r="259" spans="1:20" hidden="1" x14ac:dyDescent="0.2">
      <c r="A259" s="16"/>
      <c r="B259" s="240">
        <v>57300000</v>
      </c>
      <c r="C259" t="s">
        <v>441</v>
      </c>
      <c r="D259" s="385"/>
      <c r="E259" s="385"/>
      <c r="F259" s="8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96"/>
      <c r="S259" s="196"/>
      <c r="T259" s="196"/>
    </row>
    <row r="260" spans="1:20" hidden="1" x14ac:dyDescent="0.2">
      <c r="A260" s="58"/>
      <c r="B260" s="240"/>
      <c r="C260" t="s">
        <v>91</v>
      </c>
      <c r="D260" s="385">
        <v>0</v>
      </c>
      <c r="E260" s="385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196">
        <f>SUM(F260:Q260)</f>
        <v>0</v>
      </c>
      <c r="S260" s="203">
        <v>0</v>
      </c>
      <c r="T260" s="203">
        <v>0</v>
      </c>
    </row>
    <row r="261" spans="1:20" hidden="1" x14ac:dyDescent="0.2">
      <c r="A261" s="58"/>
      <c r="B261" s="240"/>
      <c r="C261" t="s">
        <v>91</v>
      </c>
      <c r="D261" s="389">
        <v>0</v>
      </c>
      <c r="E261" s="389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300">
        <f>SUM(F261:Q261)</f>
        <v>0</v>
      </c>
      <c r="S261" s="205">
        <v>0</v>
      </c>
      <c r="T261" s="205">
        <v>0</v>
      </c>
    </row>
    <row r="262" spans="1:20" s="18" customFormat="1" hidden="1" x14ac:dyDescent="0.2">
      <c r="A262" s="324"/>
      <c r="B262" s="325"/>
      <c r="C262" s="18" t="s">
        <v>92</v>
      </c>
      <c r="D262" s="432">
        <f t="shared" ref="D262:Q262" si="64">SUM(D260:D261)</f>
        <v>0</v>
      </c>
      <c r="E262" s="432">
        <f t="shared" si="64"/>
        <v>0</v>
      </c>
      <c r="F262" s="18">
        <f t="shared" si="64"/>
        <v>0</v>
      </c>
      <c r="G262" s="18">
        <f t="shared" si="64"/>
        <v>0</v>
      </c>
      <c r="H262" s="18">
        <f t="shared" si="64"/>
        <v>0</v>
      </c>
      <c r="I262" s="18">
        <f t="shared" si="64"/>
        <v>0</v>
      </c>
      <c r="J262" s="18">
        <f t="shared" si="64"/>
        <v>0</v>
      </c>
      <c r="K262" s="18">
        <f t="shared" si="64"/>
        <v>0</v>
      </c>
      <c r="L262" s="18">
        <f t="shared" si="64"/>
        <v>0</v>
      </c>
      <c r="M262" s="18">
        <f t="shared" si="64"/>
        <v>0</v>
      </c>
      <c r="N262" s="18">
        <f t="shared" si="64"/>
        <v>0</v>
      </c>
      <c r="O262" s="18">
        <f t="shared" si="64"/>
        <v>0</v>
      </c>
      <c r="P262" s="18">
        <f t="shared" si="64"/>
        <v>0</v>
      </c>
      <c r="Q262" s="18">
        <f t="shared" si="64"/>
        <v>0</v>
      </c>
      <c r="R262" s="248">
        <f>SUM(F262:Q262)</f>
        <v>0</v>
      </c>
      <c r="S262" s="248">
        <f>SUM(S260:S261)</f>
        <v>0</v>
      </c>
      <c r="T262" s="248">
        <f>SUM(T260:T261)</f>
        <v>0</v>
      </c>
    </row>
    <row r="263" spans="1:20" hidden="1" x14ac:dyDescent="0.2">
      <c r="A263" s="16"/>
      <c r="B263" s="240">
        <v>59001000</v>
      </c>
      <c r="C263" t="s">
        <v>442</v>
      </c>
      <c r="D263" s="385"/>
      <c r="E263" s="385"/>
      <c r="F263" s="8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96"/>
      <c r="S263" s="196"/>
      <c r="T263" s="196"/>
    </row>
    <row r="264" spans="1:20" hidden="1" x14ac:dyDescent="0.2">
      <c r="A264" s="58"/>
      <c r="B264" s="240"/>
      <c r="C264" t="s">
        <v>91</v>
      </c>
      <c r="D264" s="385">
        <v>0</v>
      </c>
      <c r="E264" s="385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196">
        <f>SUM(F264:Q264)</f>
        <v>0</v>
      </c>
      <c r="S264" s="203">
        <v>0</v>
      </c>
      <c r="T264" s="203">
        <v>0</v>
      </c>
    </row>
    <row r="265" spans="1:20" hidden="1" x14ac:dyDescent="0.2">
      <c r="A265" s="58"/>
      <c r="B265" s="240"/>
      <c r="C265" t="s">
        <v>91</v>
      </c>
      <c r="D265" s="389">
        <v>0</v>
      </c>
      <c r="E265" s="389">
        <v>0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300">
        <f>SUM(F265:Q265)</f>
        <v>0</v>
      </c>
      <c r="S265" s="205">
        <v>0</v>
      </c>
      <c r="T265" s="205">
        <v>0</v>
      </c>
    </row>
    <row r="266" spans="1:20" s="18" customFormat="1" hidden="1" x14ac:dyDescent="0.2">
      <c r="A266" s="324"/>
      <c r="B266" s="325"/>
      <c r="C266" s="18" t="s">
        <v>92</v>
      </c>
      <c r="D266" s="432">
        <f t="shared" ref="D266:Q266" si="65">SUM(D264:D265)</f>
        <v>0</v>
      </c>
      <c r="E266" s="432">
        <f t="shared" si="65"/>
        <v>0</v>
      </c>
      <c r="F266" s="18">
        <f t="shared" si="65"/>
        <v>0</v>
      </c>
      <c r="G266" s="18">
        <f t="shared" si="65"/>
        <v>0</v>
      </c>
      <c r="H266" s="18">
        <f t="shared" si="65"/>
        <v>0</v>
      </c>
      <c r="I266" s="18">
        <f t="shared" si="65"/>
        <v>0</v>
      </c>
      <c r="J266" s="18">
        <f t="shared" si="65"/>
        <v>0</v>
      </c>
      <c r="K266" s="18">
        <f t="shared" si="65"/>
        <v>0</v>
      </c>
      <c r="L266" s="18">
        <f t="shared" si="65"/>
        <v>0</v>
      </c>
      <c r="M266" s="18">
        <f t="shared" si="65"/>
        <v>0</v>
      </c>
      <c r="N266" s="18">
        <f t="shared" si="65"/>
        <v>0</v>
      </c>
      <c r="O266" s="18">
        <f t="shared" si="65"/>
        <v>0</v>
      </c>
      <c r="P266" s="18">
        <f t="shared" si="65"/>
        <v>0</v>
      </c>
      <c r="Q266" s="18">
        <f t="shared" si="65"/>
        <v>0</v>
      </c>
      <c r="R266" s="248">
        <f>SUM(F266:Q266)</f>
        <v>0</v>
      </c>
      <c r="S266" s="248">
        <f>SUM(S264:S265)</f>
        <v>0</v>
      </c>
      <c r="T266" s="248">
        <f>SUM(T264:T265)</f>
        <v>0</v>
      </c>
    </row>
    <row r="267" spans="1:20" hidden="1" x14ac:dyDescent="0.2">
      <c r="A267" s="16"/>
      <c r="B267" s="240">
        <v>59001500</v>
      </c>
      <c r="C267" t="s">
        <v>443</v>
      </c>
      <c r="D267" s="385"/>
      <c r="E267" s="385"/>
      <c r="F267" s="8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96"/>
      <c r="S267" s="196"/>
      <c r="T267" s="196"/>
    </row>
    <row r="268" spans="1:20" hidden="1" x14ac:dyDescent="0.2">
      <c r="A268" s="58"/>
      <c r="B268" s="240"/>
      <c r="C268" t="s">
        <v>91</v>
      </c>
      <c r="D268" s="385">
        <v>0</v>
      </c>
      <c r="E268" s="385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196">
        <f>SUM(F268:Q268)</f>
        <v>0</v>
      </c>
      <c r="S268" s="203">
        <v>0</v>
      </c>
      <c r="T268" s="203">
        <v>0</v>
      </c>
    </row>
    <row r="269" spans="1:20" hidden="1" x14ac:dyDescent="0.2">
      <c r="A269" s="58"/>
      <c r="B269" s="240"/>
      <c r="C269" t="s">
        <v>91</v>
      </c>
      <c r="D269" s="389">
        <v>0</v>
      </c>
      <c r="E269" s="389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300">
        <f>SUM(F269:Q269)</f>
        <v>0</v>
      </c>
      <c r="S269" s="205">
        <v>0</v>
      </c>
      <c r="T269" s="205">
        <v>0</v>
      </c>
    </row>
    <row r="270" spans="1:20" s="18" customFormat="1" hidden="1" x14ac:dyDescent="0.2">
      <c r="A270" s="324"/>
      <c r="B270" s="325"/>
      <c r="C270" s="18" t="s">
        <v>92</v>
      </c>
      <c r="D270" s="432">
        <f t="shared" ref="D270:Q270" si="66">SUM(D268:D269)</f>
        <v>0</v>
      </c>
      <c r="E270" s="432">
        <f t="shared" si="66"/>
        <v>0</v>
      </c>
      <c r="F270" s="18">
        <f t="shared" si="66"/>
        <v>0</v>
      </c>
      <c r="G270" s="18">
        <f t="shared" si="66"/>
        <v>0</v>
      </c>
      <c r="H270" s="18">
        <f t="shared" si="66"/>
        <v>0</v>
      </c>
      <c r="I270" s="18">
        <f t="shared" si="66"/>
        <v>0</v>
      </c>
      <c r="J270" s="18">
        <f t="shared" si="66"/>
        <v>0</v>
      </c>
      <c r="K270" s="18">
        <f t="shared" si="66"/>
        <v>0</v>
      </c>
      <c r="L270" s="18">
        <f t="shared" si="66"/>
        <v>0</v>
      </c>
      <c r="M270" s="18">
        <f t="shared" si="66"/>
        <v>0</v>
      </c>
      <c r="N270" s="18">
        <f t="shared" si="66"/>
        <v>0</v>
      </c>
      <c r="O270" s="18">
        <f t="shared" si="66"/>
        <v>0</v>
      </c>
      <c r="P270" s="18">
        <f t="shared" si="66"/>
        <v>0</v>
      </c>
      <c r="Q270" s="18">
        <f t="shared" si="66"/>
        <v>0</v>
      </c>
      <c r="R270" s="248">
        <f>SUM(F270:Q270)</f>
        <v>0</v>
      </c>
      <c r="S270" s="248">
        <f>SUM(S268:S269)</f>
        <v>0</v>
      </c>
      <c r="T270" s="248">
        <f>SUM(T268:T269)</f>
        <v>0</v>
      </c>
    </row>
    <row r="271" spans="1:20" hidden="1" x14ac:dyDescent="0.2">
      <c r="A271" s="16"/>
      <c r="B271" s="240">
        <v>59003100</v>
      </c>
      <c r="C271" t="s">
        <v>444</v>
      </c>
      <c r="D271" s="385"/>
      <c r="E271" s="385"/>
      <c r="F271" s="8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96"/>
      <c r="S271" s="196"/>
      <c r="T271" s="196"/>
    </row>
    <row r="272" spans="1:20" hidden="1" x14ac:dyDescent="0.2">
      <c r="A272" s="58"/>
      <c r="B272" s="240"/>
      <c r="C272" t="s">
        <v>91</v>
      </c>
      <c r="D272" s="385">
        <v>0</v>
      </c>
      <c r="E272" s="385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196">
        <f>SUM(F272:Q272)</f>
        <v>0</v>
      </c>
      <c r="S272" s="203">
        <v>0</v>
      </c>
      <c r="T272" s="203">
        <v>0</v>
      </c>
    </row>
    <row r="273" spans="1:20" hidden="1" x14ac:dyDescent="0.2">
      <c r="A273" s="58"/>
      <c r="B273" s="240"/>
      <c r="C273" t="s">
        <v>91</v>
      </c>
      <c r="D273" s="389">
        <v>0</v>
      </c>
      <c r="E273" s="389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300">
        <f>SUM(F273:Q273)</f>
        <v>0</v>
      </c>
      <c r="S273" s="205">
        <v>0</v>
      </c>
      <c r="T273" s="205">
        <v>0</v>
      </c>
    </row>
    <row r="274" spans="1:20" s="18" customFormat="1" hidden="1" x14ac:dyDescent="0.2">
      <c r="A274" s="324"/>
      <c r="B274" s="325"/>
      <c r="C274" s="18" t="s">
        <v>92</v>
      </c>
      <c r="D274" s="432">
        <f t="shared" ref="D274:Q274" si="67">SUM(D272:D273)</f>
        <v>0</v>
      </c>
      <c r="E274" s="432">
        <f t="shared" si="67"/>
        <v>0</v>
      </c>
      <c r="F274" s="18">
        <f t="shared" si="67"/>
        <v>0</v>
      </c>
      <c r="G274" s="18">
        <f t="shared" si="67"/>
        <v>0</v>
      </c>
      <c r="H274" s="18">
        <f t="shared" si="67"/>
        <v>0</v>
      </c>
      <c r="I274" s="18">
        <f t="shared" si="67"/>
        <v>0</v>
      </c>
      <c r="J274" s="18">
        <f t="shared" si="67"/>
        <v>0</v>
      </c>
      <c r="K274" s="18">
        <f t="shared" si="67"/>
        <v>0</v>
      </c>
      <c r="L274" s="18">
        <f t="shared" si="67"/>
        <v>0</v>
      </c>
      <c r="M274" s="18">
        <f t="shared" si="67"/>
        <v>0</v>
      </c>
      <c r="N274" s="18">
        <f t="shared" si="67"/>
        <v>0</v>
      </c>
      <c r="O274" s="18">
        <f t="shared" si="67"/>
        <v>0</v>
      </c>
      <c r="P274" s="18">
        <f t="shared" si="67"/>
        <v>0</v>
      </c>
      <c r="Q274" s="18">
        <f t="shared" si="67"/>
        <v>0</v>
      </c>
      <c r="R274" s="248">
        <f>SUM(F274:Q274)</f>
        <v>0</v>
      </c>
      <c r="S274" s="248">
        <f>SUM(S272:S273)</f>
        <v>0</v>
      </c>
      <c r="T274" s="248">
        <f>SUM(T272:T273)</f>
        <v>0</v>
      </c>
    </row>
    <row r="275" spans="1:20" hidden="1" x14ac:dyDescent="0.2">
      <c r="A275" s="16"/>
      <c r="B275" s="240">
        <v>59003200</v>
      </c>
      <c r="C275" t="s">
        <v>445</v>
      </c>
      <c r="D275" s="385"/>
      <c r="E275" s="385"/>
      <c r="F275" s="8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96"/>
      <c r="S275" s="196"/>
      <c r="T275" s="196"/>
    </row>
    <row r="276" spans="1:20" hidden="1" x14ac:dyDescent="0.2">
      <c r="A276" s="58"/>
      <c r="B276" s="240"/>
      <c r="C276" t="s">
        <v>91</v>
      </c>
      <c r="D276" s="385">
        <v>0</v>
      </c>
      <c r="E276" s="385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196">
        <f>SUM(F276:Q276)</f>
        <v>0</v>
      </c>
      <c r="S276" s="203">
        <v>0</v>
      </c>
      <c r="T276" s="203">
        <v>0</v>
      </c>
    </row>
    <row r="277" spans="1:20" hidden="1" x14ac:dyDescent="0.2">
      <c r="A277" s="58"/>
      <c r="B277" s="240"/>
      <c r="C277" t="s">
        <v>91</v>
      </c>
      <c r="D277" s="389">
        <v>0</v>
      </c>
      <c r="E277" s="389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300">
        <f>SUM(F277:Q277)</f>
        <v>0</v>
      </c>
      <c r="S277" s="205">
        <v>0</v>
      </c>
      <c r="T277" s="205">
        <v>0</v>
      </c>
    </row>
    <row r="278" spans="1:20" s="18" customFormat="1" hidden="1" x14ac:dyDescent="0.2">
      <c r="A278" s="324"/>
      <c r="B278" s="325"/>
      <c r="C278" s="18" t="s">
        <v>92</v>
      </c>
      <c r="D278" s="432">
        <f t="shared" ref="D278:Q278" si="68">SUM(D276:D277)</f>
        <v>0</v>
      </c>
      <c r="E278" s="432">
        <f t="shared" si="68"/>
        <v>0</v>
      </c>
      <c r="F278" s="18">
        <f t="shared" si="68"/>
        <v>0</v>
      </c>
      <c r="G278" s="18">
        <f t="shared" si="68"/>
        <v>0</v>
      </c>
      <c r="H278" s="18">
        <f t="shared" si="68"/>
        <v>0</v>
      </c>
      <c r="I278" s="18">
        <f t="shared" si="68"/>
        <v>0</v>
      </c>
      <c r="J278" s="18">
        <f t="shared" si="68"/>
        <v>0</v>
      </c>
      <c r="K278" s="18">
        <f t="shared" si="68"/>
        <v>0</v>
      </c>
      <c r="L278" s="18">
        <f t="shared" si="68"/>
        <v>0</v>
      </c>
      <c r="M278" s="18">
        <f t="shared" si="68"/>
        <v>0</v>
      </c>
      <c r="N278" s="18">
        <f t="shared" si="68"/>
        <v>0</v>
      </c>
      <c r="O278" s="18">
        <f t="shared" si="68"/>
        <v>0</v>
      </c>
      <c r="P278" s="18">
        <f t="shared" si="68"/>
        <v>0</v>
      </c>
      <c r="Q278" s="18">
        <f t="shared" si="68"/>
        <v>0</v>
      </c>
      <c r="R278" s="248">
        <f>SUM(F278:Q278)</f>
        <v>0</v>
      </c>
      <c r="S278" s="248">
        <f>SUM(S276:S277)</f>
        <v>0</v>
      </c>
      <c r="T278" s="248">
        <f>SUM(T276:T277)</f>
        <v>0</v>
      </c>
    </row>
    <row r="279" spans="1:20" hidden="1" x14ac:dyDescent="0.2">
      <c r="A279" s="16"/>
      <c r="B279" s="240">
        <v>59005000</v>
      </c>
      <c r="C279" t="s">
        <v>446</v>
      </c>
      <c r="D279" s="385"/>
      <c r="E279" s="385"/>
      <c r="F279" s="8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96"/>
      <c r="S279" s="196"/>
      <c r="T279" s="196"/>
    </row>
    <row r="280" spans="1:20" hidden="1" x14ac:dyDescent="0.2">
      <c r="A280" s="58"/>
      <c r="B280" s="240"/>
      <c r="C280" t="s">
        <v>91</v>
      </c>
      <c r="D280" s="385">
        <v>0</v>
      </c>
      <c r="E280" s="385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196">
        <f>SUM(F280:Q280)</f>
        <v>0</v>
      </c>
      <c r="S280" s="203">
        <v>0</v>
      </c>
      <c r="T280" s="203">
        <v>0</v>
      </c>
    </row>
    <row r="281" spans="1:20" hidden="1" x14ac:dyDescent="0.2">
      <c r="A281" s="58"/>
      <c r="B281" s="240"/>
      <c r="C281" t="s">
        <v>91</v>
      </c>
      <c r="D281" s="389">
        <v>0</v>
      </c>
      <c r="E281" s="389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300">
        <f>SUM(F281:Q281)</f>
        <v>0</v>
      </c>
      <c r="S281" s="205">
        <v>0</v>
      </c>
      <c r="T281" s="205">
        <v>0</v>
      </c>
    </row>
    <row r="282" spans="1:20" s="18" customFormat="1" hidden="1" x14ac:dyDescent="0.2">
      <c r="A282" s="324"/>
      <c r="B282" s="325"/>
      <c r="C282" s="18" t="s">
        <v>92</v>
      </c>
      <c r="D282" s="432">
        <f t="shared" ref="D282:Q282" si="69">SUM(D280:D281)</f>
        <v>0</v>
      </c>
      <c r="E282" s="432">
        <f t="shared" si="69"/>
        <v>0</v>
      </c>
      <c r="F282" s="18">
        <f t="shared" si="69"/>
        <v>0</v>
      </c>
      <c r="G282" s="18">
        <f t="shared" si="69"/>
        <v>0</v>
      </c>
      <c r="H282" s="18">
        <f t="shared" si="69"/>
        <v>0</v>
      </c>
      <c r="I282" s="18">
        <f t="shared" si="69"/>
        <v>0</v>
      </c>
      <c r="J282" s="18">
        <f t="shared" si="69"/>
        <v>0</v>
      </c>
      <c r="K282" s="18">
        <f t="shared" si="69"/>
        <v>0</v>
      </c>
      <c r="L282" s="18">
        <f t="shared" si="69"/>
        <v>0</v>
      </c>
      <c r="M282" s="18">
        <f t="shared" si="69"/>
        <v>0</v>
      </c>
      <c r="N282" s="18">
        <f t="shared" si="69"/>
        <v>0</v>
      </c>
      <c r="O282" s="18">
        <f t="shared" si="69"/>
        <v>0</v>
      </c>
      <c r="P282" s="18">
        <f t="shared" si="69"/>
        <v>0</v>
      </c>
      <c r="Q282" s="18">
        <f t="shared" si="69"/>
        <v>0</v>
      </c>
      <c r="R282" s="248">
        <f>SUM(F282:Q282)</f>
        <v>0</v>
      </c>
      <c r="S282" s="248">
        <f>SUM(S280:S281)</f>
        <v>0</v>
      </c>
      <c r="T282" s="248">
        <f>SUM(T280:T281)</f>
        <v>0</v>
      </c>
    </row>
    <row r="283" spans="1:20" hidden="1" x14ac:dyDescent="0.2">
      <c r="A283" s="16"/>
      <c r="B283" s="240">
        <v>59007000</v>
      </c>
      <c r="C283" t="s">
        <v>447</v>
      </c>
      <c r="D283" s="385"/>
      <c r="E283" s="385"/>
      <c r="F283" s="8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96"/>
      <c r="S283" s="196"/>
      <c r="T283" s="196"/>
    </row>
    <row r="284" spans="1:20" hidden="1" x14ac:dyDescent="0.2">
      <c r="A284" s="58"/>
      <c r="B284" s="240"/>
      <c r="C284" t="s">
        <v>91</v>
      </c>
      <c r="D284" s="385">
        <v>0</v>
      </c>
      <c r="E284" s="385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196">
        <f>SUM(F284:Q284)</f>
        <v>0</v>
      </c>
      <c r="S284" s="203">
        <v>0</v>
      </c>
      <c r="T284" s="203">
        <v>0</v>
      </c>
    </row>
    <row r="285" spans="1:20" hidden="1" x14ac:dyDescent="0.2">
      <c r="A285" s="58"/>
      <c r="B285" s="240"/>
      <c r="C285" t="s">
        <v>91</v>
      </c>
      <c r="D285" s="389">
        <v>0</v>
      </c>
      <c r="E285" s="389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300">
        <f>SUM(F285:Q285)</f>
        <v>0</v>
      </c>
      <c r="S285" s="205">
        <v>0</v>
      </c>
      <c r="T285" s="205">
        <v>0</v>
      </c>
    </row>
    <row r="286" spans="1:20" s="18" customFormat="1" hidden="1" x14ac:dyDescent="0.2">
      <c r="A286" s="324"/>
      <c r="B286" s="325"/>
      <c r="C286" s="18" t="s">
        <v>92</v>
      </c>
      <c r="D286" s="432">
        <f t="shared" ref="D286:Q286" si="70">SUM(D284:D285)</f>
        <v>0</v>
      </c>
      <c r="E286" s="432">
        <f t="shared" si="70"/>
        <v>0</v>
      </c>
      <c r="F286" s="18">
        <f t="shared" si="70"/>
        <v>0</v>
      </c>
      <c r="G286" s="18">
        <f t="shared" si="70"/>
        <v>0</v>
      </c>
      <c r="H286" s="18">
        <f t="shared" si="70"/>
        <v>0</v>
      </c>
      <c r="I286" s="18">
        <f t="shared" si="70"/>
        <v>0</v>
      </c>
      <c r="J286" s="18">
        <f t="shared" si="70"/>
        <v>0</v>
      </c>
      <c r="K286" s="18">
        <f t="shared" si="70"/>
        <v>0</v>
      </c>
      <c r="L286" s="18">
        <f t="shared" si="70"/>
        <v>0</v>
      </c>
      <c r="M286" s="18">
        <f t="shared" si="70"/>
        <v>0</v>
      </c>
      <c r="N286" s="18">
        <f t="shared" si="70"/>
        <v>0</v>
      </c>
      <c r="O286" s="18">
        <f t="shared" si="70"/>
        <v>0</v>
      </c>
      <c r="P286" s="18">
        <f t="shared" si="70"/>
        <v>0</v>
      </c>
      <c r="Q286" s="18">
        <f t="shared" si="70"/>
        <v>0</v>
      </c>
      <c r="R286" s="248">
        <f>SUM(F286:Q286)</f>
        <v>0</v>
      </c>
      <c r="S286" s="248">
        <f>SUM(S284:S285)</f>
        <v>0</v>
      </c>
      <c r="T286" s="248">
        <f>SUM(T284:T285)</f>
        <v>0</v>
      </c>
    </row>
    <row r="287" spans="1:20" hidden="1" x14ac:dyDescent="0.2">
      <c r="A287" s="16"/>
      <c r="B287" s="240">
        <v>59008000</v>
      </c>
      <c r="C287" t="s">
        <v>448</v>
      </c>
      <c r="D287" s="385"/>
      <c r="E287" s="385"/>
      <c r="F287" s="8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96"/>
      <c r="S287" s="196"/>
      <c r="T287" s="196"/>
    </row>
    <row r="288" spans="1:20" hidden="1" x14ac:dyDescent="0.2">
      <c r="A288" s="58"/>
      <c r="B288" s="240"/>
      <c r="C288" t="s">
        <v>91</v>
      </c>
      <c r="D288" s="385">
        <v>0</v>
      </c>
      <c r="E288" s="385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196">
        <f>SUM(F288:Q288)</f>
        <v>0</v>
      </c>
      <c r="S288" s="203">
        <v>0</v>
      </c>
      <c r="T288" s="203">
        <v>0</v>
      </c>
    </row>
    <row r="289" spans="1:20" hidden="1" x14ac:dyDescent="0.2">
      <c r="A289" s="58"/>
      <c r="B289" s="240"/>
      <c r="C289" t="s">
        <v>91</v>
      </c>
      <c r="D289" s="389">
        <v>0</v>
      </c>
      <c r="E289" s="389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300">
        <f>SUM(F289:Q289)</f>
        <v>0</v>
      </c>
      <c r="S289" s="205">
        <v>0</v>
      </c>
      <c r="T289" s="205">
        <v>0</v>
      </c>
    </row>
    <row r="290" spans="1:20" s="18" customFormat="1" hidden="1" x14ac:dyDescent="0.2">
      <c r="A290" s="324"/>
      <c r="B290" s="325"/>
      <c r="C290" s="18" t="s">
        <v>92</v>
      </c>
      <c r="D290" s="432">
        <f t="shared" ref="D290:Q290" si="71">SUM(D288:D289)</f>
        <v>0</v>
      </c>
      <c r="E290" s="432">
        <f t="shared" si="71"/>
        <v>0</v>
      </c>
      <c r="F290" s="18">
        <f t="shared" si="71"/>
        <v>0</v>
      </c>
      <c r="G290" s="18">
        <f t="shared" si="71"/>
        <v>0</v>
      </c>
      <c r="H290" s="18">
        <f t="shared" si="71"/>
        <v>0</v>
      </c>
      <c r="I290" s="18">
        <f t="shared" si="71"/>
        <v>0</v>
      </c>
      <c r="J290" s="18">
        <f t="shared" si="71"/>
        <v>0</v>
      </c>
      <c r="K290" s="18">
        <f t="shared" si="71"/>
        <v>0</v>
      </c>
      <c r="L290" s="18">
        <f t="shared" si="71"/>
        <v>0</v>
      </c>
      <c r="M290" s="18">
        <f t="shared" si="71"/>
        <v>0</v>
      </c>
      <c r="N290" s="18">
        <f t="shared" si="71"/>
        <v>0</v>
      </c>
      <c r="O290" s="18">
        <f t="shared" si="71"/>
        <v>0</v>
      </c>
      <c r="P290" s="18">
        <f t="shared" si="71"/>
        <v>0</v>
      </c>
      <c r="Q290" s="18">
        <f t="shared" si="71"/>
        <v>0</v>
      </c>
      <c r="R290" s="248">
        <f>SUM(F290:Q290)</f>
        <v>0</v>
      </c>
      <c r="S290" s="248">
        <f>SUM(S288:S289)</f>
        <v>0</v>
      </c>
      <c r="T290" s="248">
        <f>SUM(T288:T289)</f>
        <v>0</v>
      </c>
    </row>
    <row r="291" spans="1:20" hidden="1" x14ac:dyDescent="0.2">
      <c r="A291" s="16"/>
      <c r="B291" s="240">
        <v>59008100</v>
      </c>
      <c r="C291" t="s">
        <v>449</v>
      </c>
      <c r="D291" s="385"/>
      <c r="E291" s="385"/>
      <c r="F291" s="8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96"/>
      <c r="S291" s="196"/>
      <c r="T291" s="196"/>
    </row>
    <row r="292" spans="1:20" hidden="1" x14ac:dyDescent="0.2">
      <c r="A292" s="58"/>
      <c r="B292" s="240"/>
      <c r="C292" t="s">
        <v>91</v>
      </c>
      <c r="D292" s="385">
        <v>0</v>
      </c>
      <c r="E292" s="385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196">
        <f>SUM(F292:Q292)</f>
        <v>0</v>
      </c>
      <c r="S292" s="203">
        <v>0</v>
      </c>
      <c r="T292" s="203">
        <v>0</v>
      </c>
    </row>
    <row r="293" spans="1:20" hidden="1" x14ac:dyDescent="0.2">
      <c r="A293" s="58"/>
      <c r="B293" s="240"/>
      <c r="C293" t="s">
        <v>91</v>
      </c>
      <c r="D293" s="389">
        <v>0</v>
      </c>
      <c r="E293" s="389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300">
        <f>SUM(F293:Q293)</f>
        <v>0</v>
      </c>
      <c r="S293" s="205">
        <v>0</v>
      </c>
      <c r="T293" s="205">
        <v>0</v>
      </c>
    </row>
    <row r="294" spans="1:20" s="18" customFormat="1" hidden="1" x14ac:dyDescent="0.2">
      <c r="A294" s="324"/>
      <c r="B294" s="325"/>
      <c r="C294" s="18" t="s">
        <v>92</v>
      </c>
      <c r="D294" s="432">
        <f t="shared" ref="D294:Q294" si="72">SUM(D292:D293)</f>
        <v>0</v>
      </c>
      <c r="E294" s="432">
        <f t="shared" si="72"/>
        <v>0</v>
      </c>
      <c r="F294" s="18">
        <f t="shared" si="72"/>
        <v>0</v>
      </c>
      <c r="G294" s="18">
        <f t="shared" si="72"/>
        <v>0</v>
      </c>
      <c r="H294" s="18">
        <f t="shared" si="72"/>
        <v>0</v>
      </c>
      <c r="I294" s="18">
        <f t="shared" si="72"/>
        <v>0</v>
      </c>
      <c r="J294" s="18">
        <f t="shared" si="72"/>
        <v>0</v>
      </c>
      <c r="K294" s="18">
        <f t="shared" si="72"/>
        <v>0</v>
      </c>
      <c r="L294" s="18">
        <f t="shared" si="72"/>
        <v>0</v>
      </c>
      <c r="M294" s="18">
        <f t="shared" si="72"/>
        <v>0</v>
      </c>
      <c r="N294" s="18">
        <f t="shared" si="72"/>
        <v>0</v>
      </c>
      <c r="O294" s="18">
        <f t="shared" si="72"/>
        <v>0</v>
      </c>
      <c r="P294" s="18">
        <f t="shared" si="72"/>
        <v>0</v>
      </c>
      <c r="Q294" s="18">
        <f t="shared" si="72"/>
        <v>0</v>
      </c>
      <c r="R294" s="248">
        <f>SUM(F294:Q294)</f>
        <v>0</v>
      </c>
      <c r="S294" s="248">
        <f>SUM(S292:S293)</f>
        <v>0</v>
      </c>
      <c r="T294" s="248">
        <f>SUM(T292:T293)</f>
        <v>0</v>
      </c>
    </row>
    <row r="295" spans="1:20" hidden="1" x14ac:dyDescent="0.2">
      <c r="A295" s="16"/>
      <c r="B295" s="240">
        <v>59008200</v>
      </c>
      <c r="C295" t="s">
        <v>450</v>
      </c>
      <c r="D295" s="385"/>
      <c r="E295" s="385"/>
      <c r="F295" s="8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96"/>
      <c r="S295" s="196"/>
      <c r="T295" s="196"/>
    </row>
    <row r="296" spans="1:20" hidden="1" x14ac:dyDescent="0.2">
      <c r="A296" s="58"/>
      <c r="B296" s="240"/>
      <c r="C296" t="s">
        <v>91</v>
      </c>
      <c r="D296" s="385">
        <v>0</v>
      </c>
      <c r="E296" s="385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196">
        <f>SUM(F296:Q296)</f>
        <v>0</v>
      </c>
      <c r="S296" s="203">
        <v>0</v>
      </c>
      <c r="T296" s="203">
        <v>0</v>
      </c>
    </row>
    <row r="297" spans="1:20" hidden="1" x14ac:dyDescent="0.2">
      <c r="A297" s="58"/>
      <c r="B297" s="240"/>
      <c r="C297" t="s">
        <v>91</v>
      </c>
      <c r="D297" s="389">
        <v>0</v>
      </c>
      <c r="E297" s="389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300">
        <f>SUM(F297:Q297)</f>
        <v>0</v>
      </c>
      <c r="S297" s="205">
        <v>0</v>
      </c>
      <c r="T297" s="205">
        <v>0</v>
      </c>
    </row>
    <row r="298" spans="1:20" s="18" customFormat="1" hidden="1" x14ac:dyDescent="0.2">
      <c r="A298" s="324"/>
      <c r="B298" s="325"/>
      <c r="C298" s="18" t="s">
        <v>92</v>
      </c>
      <c r="D298" s="432">
        <f t="shared" ref="D298:Q298" si="73">SUM(D296:D297)</f>
        <v>0</v>
      </c>
      <c r="E298" s="432">
        <f t="shared" si="73"/>
        <v>0</v>
      </c>
      <c r="F298" s="18">
        <f t="shared" si="73"/>
        <v>0</v>
      </c>
      <c r="G298" s="18">
        <f t="shared" si="73"/>
        <v>0</v>
      </c>
      <c r="H298" s="18">
        <f t="shared" si="73"/>
        <v>0</v>
      </c>
      <c r="I298" s="18">
        <f t="shared" si="73"/>
        <v>0</v>
      </c>
      <c r="J298" s="18">
        <f t="shared" si="73"/>
        <v>0</v>
      </c>
      <c r="K298" s="18">
        <f t="shared" si="73"/>
        <v>0</v>
      </c>
      <c r="L298" s="18">
        <f t="shared" si="73"/>
        <v>0</v>
      </c>
      <c r="M298" s="18">
        <f t="shared" si="73"/>
        <v>0</v>
      </c>
      <c r="N298" s="18">
        <f t="shared" si="73"/>
        <v>0</v>
      </c>
      <c r="O298" s="18">
        <f t="shared" si="73"/>
        <v>0</v>
      </c>
      <c r="P298" s="18">
        <f t="shared" si="73"/>
        <v>0</v>
      </c>
      <c r="Q298" s="18">
        <f t="shared" si="73"/>
        <v>0</v>
      </c>
      <c r="R298" s="248">
        <f>SUM(F298:Q298)</f>
        <v>0</v>
      </c>
      <c r="S298" s="248">
        <f>SUM(S296:S297)</f>
        <v>0</v>
      </c>
      <c r="T298" s="248">
        <f>SUM(T296:T297)</f>
        <v>0</v>
      </c>
    </row>
    <row r="299" spans="1:20" hidden="1" x14ac:dyDescent="0.2">
      <c r="A299" s="16"/>
      <c r="B299" s="240">
        <v>59099900</v>
      </c>
      <c r="C299" t="s">
        <v>451</v>
      </c>
      <c r="D299" s="385"/>
      <c r="E299" s="385"/>
      <c r="F299" s="8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96"/>
      <c r="S299" s="196"/>
      <c r="T299" s="196"/>
    </row>
    <row r="300" spans="1:20" hidden="1" x14ac:dyDescent="0.2">
      <c r="A300" s="58"/>
      <c r="B300" s="240"/>
      <c r="C300" t="s">
        <v>91</v>
      </c>
      <c r="D300" s="385">
        <v>0</v>
      </c>
      <c r="E300" s="385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196">
        <f>SUM(F300:Q300)</f>
        <v>0</v>
      </c>
      <c r="S300" s="203">
        <v>0</v>
      </c>
      <c r="T300" s="203">
        <v>0</v>
      </c>
    </row>
    <row r="301" spans="1:20" hidden="1" x14ac:dyDescent="0.2">
      <c r="A301" s="58"/>
      <c r="B301" s="240"/>
      <c r="C301" t="s">
        <v>91</v>
      </c>
      <c r="D301" s="389">
        <v>0</v>
      </c>
      <c r="E301" s="389">
        <v>0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300">
        <f>SUM(F301:Q301)</f>
        <v>0</v>
      </c>
      <c r="S301" s="205">
        <v>0</v>
      </c>
      <c r="T301" s="205">
        <v>0</v>
      </c>
    </row>
    <row r="302" spans="1:20" s="18" customFormat="1" hidden="1" x14ac:dyDescent="0.2">
      <c r="A302" s="324"/>
      <c r="B302" s="325"/>
      <c r="C302" s="18" t="s">
        <v>92</v>
      </c>
      <c r="D302" s="432">
        <f t="shared" ref="D302:Q302" si="74">SUM(D300:D301)</f>
        <v>0</v>
      </c>
      <c r="E302" s="432">
        <f t="shared" si="74"/>
        <v>0</v>
      </c>
      <c r="F302" s="18">
        <f t="shared" si="74"/>
        <v>0</v>
      </c>
      <c r="G302" s="18">
        <f t="shared" si="74"/>
        <v>0</v>
      </c>
      <c r="H302" s="18">
        <f t="shared" si="74"/>
        <v>0</v>
      </c>
      <c r="I302" s="18">
        <f t="shared" si="74"/>
        <v>0</v>
      </c>
      <c r="J302" s="18">
        <f t="shared" si="74"/>
        <v>0</v>
      </c>
      <c r="K302" s="18">
        <f t="shared" si="74"/>
        <v>0</v>
      </c>
      <c r="L302" s="18">
        <f t="shared" si="74"/>
        <v>0</v>
      </c>
      <c r="M302" s="18">
        <f t="shared" si="74"/>
        <v>0</v>
      </c>
      <c r="N302" s="18">
        <f t="shared" si="74"/>
        <v>0</v>
      </c>
      <c r="O302" s="18">
        <f t="shared" si="74"/>
        <v>0</v>
      </c>
      <c r="P302" s="18">
        <f t="shared" si="74"/>
        <v>0</v>
      </c>
      <c r="Q302" s="18">
        <f t="shared" si="74"/>
        <v>0</v>
      </c>
      <c r="R302" s="248">
        <f>SUM(F302:Q302)</f>
        <v>0</v>
      </c>
      <c r="S302" s="248">
        <f>SUM(S300:S301)</f>
        <v>0</v>
      </c>
      <c r="T302" s="248">
        <f>SUM(T300:T301)</f>
        <v>0</v>
      </c>
    </row>
    <row r="303" spans="1:20" hidden="1" x14ac:dyDescent="0.2">
      <c r="A303" s="16"/>
      <c r="B303" s="240">
        <v>59503000</v>
      </c>
      <c r="C303" t="s">
        <v>452</v>
      </c>
      <c r="D303" s="385"/>
      <c r="E303" s="385"/>
      <c r="F303" s="8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96"/>
      <c r="S303" s="196"/>
      <c r="T303" s="196"/>
    </row>
    <row r="304" spans="1:20" hidden="1" x14ac:dyDescent="0.2">
      <c r="A304" s="58"/>
      <c r="B304" s="240"/>
      <c r="C304" t="s">
        <v>91</v>
      </c>
      <c r="D304" s="385">
        <v>0</v>
      </c>
      <c r="E304" s="385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196">
        <f>SUM(F304:Q304)</f>
        <v>0</v>
      </c>
      <c r="S304" s="203">
        <v>0</v>
      </c>
      <c r="T304" s="203">
        <v>0</v>
      </c>
    </row>
    <row r="305" spans="1:20" hidden="1" x14ac:dyDescent="0.2">
      <c r="A305" s="58"/>
      <c r="B305" s="240"/>
      <c r="C305" t="s">
        <v>91</v>
      </c>
      <c r="D305" s="389">
        <v>0</v>
      </c>
      <c r="E305" s="389">
        <v>0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300">
        <f>SUM(F305:Q305)</f>
        <v>0</v>
      </c>
      <c r="S305" s="205">
        <v>0</v>
      </c>
      <c r="T305" s="205">
        <v>0</v>
      </c>
    </row>
    <row r="306" spans="1:20" s="18" customFormat="1" hidden="1" x14ac:dyDescent="0.2">
      <c r="A306" s="324"/>
      <c r="B306" s="325"/>
      <c r="C306" s="18" t="s">
        <v>92</v>
      </c>
      <c r="D306" s="432">
        <f t="shared" ref="D306:Q306" si="75">SUM(D304:D305)</f>
        <v>0</v>
      </c>
      <c r="E306" s="432">
        <f t="shared" si="75"/>
        <v>0</v>
      </c>
      <c r="F306" s="18">
        <f t="shared" si="75"/>
        <v>0</v>
      </c>
      <c r="G306" s="18">
        <f t="shared" si="75"/>
        <v>0</v>
      </c>
      <c r="H306" s="18">
        <f t="shared" si="75"/>
        <v>0</v>
      </c>
      <c r="I306" s="18">
        <f t="shared" si="75"/>
        <v>0</v>
      </c>
      <c r="J306" s="18">
        <f t="shared" si="75"/>
        <v>0</v>
      </c>
      <c r="K306" s="18">
        <f t="shared" si="75"/>
        <v>0</v>
      </c>
      <c r="L306" s="18">
        <f t="shared" si="75"/>
        <v>0</v>
      </c>
      <c r="M306" s="18">
        <f t="shared" si="75"/>
        <v>0</v>
      </c>
      <c r="N306" s="18">
        <f t="shared" si="75"/>
        <v>0</v>
      </c>
      <c r="O306" s="18">
        <f t="shared" si="75"/>
        <v>0</v>
      </c>
      <c r="P306" s="18">
        <f t="shared" si="75"/>
        <v>0</v>
      </c>
      <c r="Q306" s="18">
        <f t="shared" si="75"/>
        <v>0</v>
      </c>
      <c r="R306" s="248">
        <f>SUM(F306:Q306)</f>
        <v>0</v>
      </c>
      <c r="S306" s="248">
        <f>SUM(S304:S305)</f>
        <v>0</v>
      </c>
      <c r="T306" s="248">
        <f>SUM(T304:T305)</f>
        <v>0</v>
      </c>
    </row>
    <row r="307" spans="1:20" hidden="1" x14ac:dyDescent="0.2">
      <c r="A307" s="16"/>
      <c r="B307" s="240">
        <v>59504000</v>
      </c>
      <c r="C307" t="s">
        <v>453</v>
      </c>
      <c r="D307" s="385"/>
      <c r="E307" s="385"/>
      <c r="F307" s="8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96"/>
      <c r="S307" s="196"/>
      <c r="T307" s="196"/>
    </row>
    <row r="308" spans="1:20" hidden="1" x14ac:dyDescent="0.2">
      <c r="A308" s="58"/>
      <c r="B308" s="240"/>
      <c r="C308" t="s">
        <v>91</v>
      </c>
      <c r="D308" s="385">
        <v>0</v>
      </c>
      <c r="E308" s="385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196">
        <f>SUM(F308:Q308)</f>
        <v>0</v>
      </c>
      <c r="S308" s="203">
        <v>0</v>
      </c>
      <c r="T308" s="203">
        <v>0</v>
      </c>
    </row>
    <row r="309" spans="1:20" hidden="1" x14ac:dyDescent="0.2">
      <c r="A309" s="58"/>
      <c r="B309" s="240"/>
      <c r="C309" t="s">
        <v>91</v>
      </c>
      <c r="D309" s="389">
        <v>0</v>
      </c>
      <c r="E309" s="389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300">
        <f>SUM(F309:Q309)</f>
        <v>0</v>
      </c>
      <c r="S309" s="205">
        <v>0</v>
      </c>
      <c r="T309" s="205">
        <v>0</v>
      </c>
    </row>
    <row r="310" spans="1:20" s="18" customFormat="1" hidden="1" x14ac:dyDescent="0.2">
      <c r="A310" s="324"/>
      <c r="B310" s="325"/>
      <c r="C310" s="18" t="s">
        <v>92</v>
      </c>
      <c r="D310" s="432">
        <f t="shared" ref="D310:Q310" si="76">SUM(D308:D309)</f>
        <v>0</v>
      </c>
      <c r="E310" s="432">
        <f t="shared" si="76"/>
        <v>0</v>
      </c>
      <c r="F310" s="18">
        <f t="shared" si="76"/>
        <v>0</v>
      </c>
      <c r="G310" s="18">
        <f t="shared" si="76"/>
        <v>0</v>
      </c>
      <c r="H310" s="18">
        <f t="shared" si="76"/>
        <v>0</v>
      </c>
      <c r="I310" s="18">
        <f t="shared" si="76"/>
        <v>0</v>
      </c>
      <c r="J310" s="18">
        <f t="shared" si="76"/>
        <v>0</v>
      </c>
      <c r="K310" s="18">
        <f t="shared" si="76"/>
        <v>0</v>
      </c>
      <c r="L310" s="18">
        <f t="shared" si="76"/>
        <v>0</v>
      </c>
      <c r="M310" s="18">
        <f t="shared" si="76"/>
        <v>0</v>
      </c>
      <c r="N310" s="18">
        <f t="shared" si="76"/>
        <v>0</v>
      </c>
      <c r="O310" s="18">
        <f t="shared" si="76"/>
        <v>0</v>
      </c>
      <c r="P310" s="18">
        <f t="shared" si="76"/>
        <v>0</v>
      </c>
      <c r="Q310" s="18">
        <f t="shared" si="76"/>
        <v>0</v>
      </c>
      <c r="R310" s="248">
        <f>SUM(F310:Q310)</f>
        <v>0</v>
      </c>
      <c r="S310" s="248">
        <f>SUM(S308:S309)</f>
        <v>0</v>
      </c>
      <c r="T310" s="248">
        <f>SUM(T308:T309)</f>
        <v>0</v>
      </c>
    </row>
    <row r="311" spans="1:20" x14ac:dyDescent="0.2">
      <c r="A311" s="16"/>
      <c r="B311" s="240">
        <v>59900000</v>
      </c>
      <c r="C311" t="s">
        <v>410</v>
      </c>
      <c r="D311" s="385"/>
      <c r="E311" s="385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96"/>
      <c r="S311" s="196"/>
      <c r="T311" s="196"/>
    </row>
    <row r="312" spans="1:20" s="384" customFormat="1" x14ac:dyDescent="0.2">
      <c r="A312" s="382"/>
      <c r="B312" s="383"/>
      <c r="C312" s="384" t="s">
        <v>91</v>
      </c>
      <c r="D312" s="385">
        <v>0</v>
      </c>
      <c r="E312" s="385">
        <v>0</v>
      </c>
      <c r="F312" s="386">
        <v>0</v>
      </c>
      <c r="G312" s="386">
        <v>0</v>
      </c>
      <c r="H312" s="386">
        <v>0</v>
      </c>
      <c r="I312" s="386">
        <v>0</v>
      </c>
      <c r="J312" s="386">
        <v>0</v>
      </c>
      <c r="K312" s="386">
        <v>0</v>
      </c>
      <c r="L312" s="386">
        <v>0</v>
      </c>
      <c r="M312" s="386">
        <v>0</v>
      </c>
      <c r="N312" s="386">
        <v>0</v>
      </c>
      <c r="O312" s="386">
        <v>0</v>
      </c>
      <c r="P312" s="386">
        <v>0</v>
      </c>
      <c r="Q312" s="386">
        <v>0</v>
      </c>
      <c r="R312" s="387">
        <f>SUM(F312:Q312)</f>
        <v>0</v>
      </c>
      <c r="S312" s="388">
        <f>ROUND(R312*1.05,0)</f>
        <v>0</v>
      </c>
      <c r="T312" s="388">
        <f>ROUND(S312*1.05,0)</f>
        <v>0</v>
      </c>
    </row>
    <row r="313" spans="1:20" s="384" customFormat="1" x14ac:dyDescent="0.2">
      <c r="A313" s="382"/>
      <c r="B313" s="383"/>
      <c r="C313" s="384" t="s">
        <v>91</v>
      </c>
      <c r="D313" s="389">
        <v>0</v>
      </c>
      <c r="E313" s="389">
        <v>0</v>
      </c>
      <c r="F313" s="390">
        <v>0</v>
      </c>
      <c r="G313" s="390">
        <v>0</v>
      </c>
      <c r="H313" s="390">
        <v>0</v>
      </c>
      <c r="I313" s="390">
        <v>0</v>
      </c>
      <c r="J313" s="390">
        <v>0</v>
      </c>
      <c r="K313" s="390">
        <v>0</v>
      </c>
      <c r="L313" s="390">
        <v>0</v>
      </c>
      <c r="M313" s="390">
        <v>0</v>
      </c>
      <c r="N313" s="390">
        <v>0</v>
      </c>
      <c r="O313" s="390">
        <v>0</v>
      </c>
      <c r="P313" s="390">
        <v>0</v>
      </c>
      <c r="Q313" s="390">
        <v>0</v>
      </c>
      <c r="R313" s="391">
        <f>SUM(F313:Q313)</f>
        <v>0</v>
      </c>
      <c r="S313" s="392">
        <f>ROUND(R313*1.05,0)</f>
        <v>0</v>
      </c>
      <c r="T313" s="392">
        <f>ROUND(S313*1.05,0)</f>
        <v>0</v>
      </c>
    </row>
    <row r="314" spans="1:20" s="18" customFormat="1" x14ac:dyDescent="0.2">
      <c r="A314" s="324"/>
      <c r="B314" s="325"/>
      <c r="C314" s="18" t="s">
        <v>92</v>
      </c>
      <c r="D314" s="432">
        <f t="shared" ref="D314:Q314" si="77">SUM(D312:D313)</f>
        <v>0</v>
      </c>
      <c r="E314" s="432">
        <f t="shared" si="77"/>
        <v>0</v>
      </c>
      <c r="F314" s="18">
        <f t="shared" si="77"/>
        <v>0</v>
      </c>
      <c r="G314" s="18">
        <f t="shared" si="77"/>
        <v>0</v>
      </c>
      <c r="H314" s="18">
        <f t="shared" si="77"/>
        <v>0</v>
      </c>
      <c r="I314" s="18">
        <f t="shared" si="77"/>
        <v>0</v>
      </c>
      <c r="J314" s="18">
        <f t="shared" si="77"/>
        <v>0</v>
      </c>
      <c r="K314" s="18">
        <f t="shared" si="77"/>
        <v>0</v>
      </c>
      <c r="L314" s="18">
        <f t="shared" si="77"/>
        <v>0</v>
      </c>
      <c r="M314" s="18">
        <f t="shared" si="77"/>
        <v>0</v>
      </c>
      <c r="N314" s="18">
        <f t="shared" si="77"/>
        <v>0</v>
      </c>
      <c r="O314" s="18">
        <f t="shared" si="77"/>
        <v>0</v>
      </c>
      <c r="P314" s="18">
        <f t="shared" si="77"/>
        <v>0</v>
      </c>
      <c r="Q314" s="18">
        <f t="shared" si="77"/>
        <v>0</v>
      </c>
      <c r="R314" s="248">
        <f>SUM(F314:Q314)</f>
        <v>0</v>
      </c>
      <c r="S314" s="248">
        <f>SUM(S312:S313)</f>
        <v>0</v>
      </c>
      <c r="T314" s="248">
        <f>SUM(T312:T313)</f>
        <v>0</v>
      </c>
    </row>
    <row r="315" spans="1:20" x14ac:dyDescent="0.2">
      <c r="A315" s="16"/>
      <c r="B315" s="240">
        <v>59900100</v>
      </c>
      <c r="C315" t="s">
        <v>411</v>
      </c>
      <c r="D315" s="385"/>
      <c r="E315" s="385"/>
      <c r="F315" s="8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96"/>
      <c r="S315" s="196"/>
      <c r="T315" s="196"/>
    </row>
    <row r="316" spans="1:20" s="384" customFormat="1" x14ac:dyDescent="0.2">
      <c r="A316" s="382"/>
      <c r="B316" s="383"/>
      <c r="C316" s="384" t="s">
        <v>91</v>
      </c>
      <c r="D316" s="385">
        <v>0</v>
      </c>
      <c r="E316" s="385">
        <v>0</v>
      </c>
      <c r="F316" s="386">
        <v>0</v>
      </c>
      <c r="G316" s="386">
        <v>0</v>
      </c>
      <c r="H316" s="386">
        <v>0</v>
      </c>
      <c r="I316" s="386">
        <v>0</v>
      </c>
      <c r="J316" s="386">
        <v>0</v>
      </c>
      <c r="K316" s="386">
        <v>0</v>
      </c>
      <c r="L316" s="386">
        <v>0</v>
      </c>
      <c r="M316" s="386">
        <v>0</v>
      </c>
      <c r="N316" s="386">
        <v>0</v>
      </c>
      <c r="O316" s="386">
        <v>0</v>
      </c>
      <c r="P316" s="386">
        <v>0</v>
      </c>
      <c r="Q316" s="386">
        <v>0</v>
      </c>
      <c r="R316" s="387">
        <f>SUM(F316:Q316)</f>
        <v>0</v>
      </c>
      <c r="S316" s="388">
        <f>ROUND(R316*1.05,0)</f>
        <v>0</v>
      </c>
      <c r="T316" s="388">
        <f>ROUND(S316*1.05,0)</f>
        <v>0</v>
      </c>
    </row>
    <row r="317" spans="1:20" s="384" customFormat="1" x14ac:dyDescent="0.2">
      <c r="A317" s="382"/>
      <c r="B317" s="383"/>
      <c r="C317" s="384" t="s">
        <v>91</v>
      </c>
      <c r="D317" s="389">
        <v>0</v>
      </c>
      <c r="E317" s="389">
        <v>0</v>
      </c>
      <c r="F317" s="390">
        <v>0</v>
      </c>
      <c r="G317" s="390">
        <v>0</v>
      </c>
      <c r="H317" s="390">
        <v>0</v>
      </c>
      <c r="I317" s="390">
        <v>0</v>
      </c>
      <c r="J317" s="390">
        <v>0</v>
      </c>
      <c r="K317" s="390">
        <v>0</v>
      </c>
      <c r="L317" s="390">
        <v>0</v>
      </c>
      <c r="M317" s="390">
        <v>0</v>
      </c>
      <c r="N317" s="390">
        <v>0</v>
      </c>
      <c r="O317" s="390">
        <v>0</v>
      </c>
      <c r="P317" s="390">
        <v>0</v>
      </c>
      <c r="Q317" s="390">
        <v>0</v>
      </c>
      <c r="R317" s="391">
        <f>SUM(F317:Q317)</f>
        <v>0</v>
      </c>
      <c r="S317" s="392">
        <f>ROUND(R317*1.05,0)</f>
        <v>0</v>
      </c>
      <c r="T317" s="392">
        <f>ROUND(S317*1.05,0)</f>
        <v>0</v>
      </c>
    </row>
    <row r="318" spans="1:20" s="18" customFormat="1" x14ac:dyDescent="0.2">
      <c r="A318" s="324"/>
      <c r="B318" s="325"/>
      <c r="C318" s="18" t="s">
        <v>92</v>
      </c>
      <c r="D318" s="432">
        <f t="shared" ref="D318:Q318" si="78">SUM(D316:D317)</f>
        <v>0</v>
      </c>
      <c r="E318" s="432">
        <f t="shared" si="78"/>
        <v>0</v>
      </c>
      <c r="F318" s="18">
        <f t="shared" si="78"/>
        <v>0</v>
      </c>
      <c r="G318" s="18">
        <f t="shared" si="78"/>
        <v>0</v>
      </c>
      <c r="H318" s="18">
        <f t="shared" si="78"/>
        <v>0</v>
      </c>
      <c r="I318" s="18">
        <f t="shared" si="78"/>
        <v>0</v>
      </c>
      <c r="J318" s="18">
        <f t="shared" si="78"/>
        <v>0</v>
      </c>
      <c r="K318" s="18">
        <f t="shared" si="78"/>
        <v>0</v>
      </c>
      <c r="L318" s="18">
        <f t="shared" si="78"/>
        <v>0</v>
      </c>
      <c r="M318" s="18">
        <f t="shared" si="78"/>
        <v>0</v>
      </c>
      <c r="N318" s="18">
        <f t="shared" si="78"/>
        <v>0</v>
      </c>
      <c r="O318" s="18">
        <f t="shared" si="78"/>
        <v>0</v>
      </c>
      <c r="P318" s="18">
        <f t="shared" si="78"/>
        <v>0</v>
      </c>
      <c r="Q318" s="18">
        <f t="shared" si="78"/>
        <v>0</v>
      </c>
      <c r="R318" s="248">
        <f>SUM(F318:Q318)</f>
        <v>0</v>
      </c>
      <c r="S318" s="248">
        <f>SUM(S316:S317)</f>
        <v>0</v>
      </c>
      <c r="T318" s="248">
        <f>SUM(T316:T317)</f>
        <v>0</v>
      </c>
    </row>
    <row r="319" spans="1:20" x14ac:dyDescent="0.2">
      <c r="A319" s="16"/>
      <c r="B319" s="240">
        <v>59900200</v>
      </c>
      <c r="C319" t="s">
        <v>412</v>
      </c>
      <c r="D319" s="385"/>
      <c r="E319" s="385"/>
      <c r="F319" s="8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96"/>
      <c r="S319" s="196"/>
      <c r="T319" s="196"/>
    </row>
    <row r="320" spans="1:20" s="384" customFormat="1" x14ac:dyDescent="0.2">
      <c r="A320" s="382"/>
      <c r="B320" s="383"/>
      <c r="C320" s="384" t="s">
        <v>91</v>
      </c>
      <c r="D320" s="385">
        <v>0</v>
      </c>
      <c r="E320" s="385">
        <v>0</v>
      </c>
      <c r="F320" s="386">
        <v>0</v>
      </c>
      <c r="G320" s="386">
        <v>0</v>
      </c>
      <c r="H320" s="386">
        <v>0</v>
      </c>
      <c r="I320" s="386">
        <v>0</v>
      </c>
      <c r="J320" s="386">
        <v>0</v>
      </c>
      <c r="K320" s="386">
        <v>0</v>
      </c>
      <c r="L320" s="386">
        <v>0</v>
      </c>
      <c r="M320" s="386">
        <v>0</v>
      </c>
      <c r="N320" s="386">
        <v>0</v>
      </c>
      <c r="O320" s="386">
        <v>0</v>
      </c>
      <c r="P320" s="386">
        <v>0</v>
      </c>
      <c r="Q320" s="386">
        <v>0</v>
      </c>
      <c r="R320" s="387">
        <f>SUM(F320:Q320)</f>
        <v>0</v>
      </c>
      <c r="S320" s="388">
        <f>ROUND(R320*1.05,0)</f>
        <v>0</v>
      </c>
      <c r="T320" s="388">
        <f>ROUND(S320*1.05,0)</f>
        <v>0</v>
      </c>
    </row>
    <row r="321" spans="1:20" s="384" customFormat="1" x14ac:dyDescent="0.2">
      <c r="A321" s="382"/>
      <c r="B321" s="383"/>
      <c r="C321" s="384" t="s">
        <v>91</v>
      </c>
      <c r="D321" s="389">
        <v>0</v>
      </c>
      <c r="E321" s="389">
        <v>0</v>
      </c>
      <c r="F321" s="390">
        <v>0</v>
      </c>
      <c r="G321" s="390">
        <v>0</v>
      </c>
      <c r="H321" s="390">
        <v>0</v>
      </c>
      <c r="I321" s="390">
        <v>0</v>
      </c>
      <c r="J321" s="390">
        <v>0</v>
      </c>
      <c r="K321" s="390">
        <v>0</v>
      </c>
      <c r="L321" s="390">
        <v>0</v>
      </c>
      <c r="M321" s="390">
        <v>0</v>
      </c>
      <c r="N321" s="390">
        <v>0</v>
      </c>
      <c r="O321" s="390">
        <v>0</v>
      </c>
      <c r="P321" s="390">
        <v>0</v>
      </c>
      <c r="Q321" s="390">
        <v>0</v>
      </c>
      <c r="R321" s="391">
        <f>SUM(F321:Q321)</f>
        <v>0</v>
      </c>
      <c r="S321" s="392">
        <f>ROUND(R321*1.05,0)</f>
        <v>0</v>
      </c>
      <c r="T321" s="392">
        <f>ROUND(S321*1.05,0)</f>
        <v>0</v>
      </c>
    </row>
    <row r="322" spans="1:20" s="18" customFormat="1" x14ac:dyDescent="0.2">
      <c r="A322" s="324"/>
      <c r="B322" s="325"/>
      <c r="C322" s="18" t="s">
        <v>92</v>
      </c>
      <c r="D322" s="432">
        <f t="shared" ref="D322:Q322" si="79">SUM(D320:D321)</f>
        <v>0</v>
      </c>
      <c r="E322" s="432">
        <f t="shared" si="79"/>
        <v>0</v>
      </c>
      <c r="F322" s="18">
        <f t="shared" si="79"/>
        <v>0</v>
      </c>
      <c r="G322" s="18">
        <f t="shared" si="79"/>
        <v>0</v>
      </c>
      <c r="H322" s="18">
        <f t="shared" si="79"/>
        <v>0</v>
      </c>
      <c r="I322" s="18">
        <f t="shared" si="79"/>
        <v>0</v>
      </c>
      <c r="J322" s="18">
        <f t="shared" si="79"/>
        <v>0</v>
      </c>
      <c r="K322" s="18">
        <f t="shared" si="79"/>
        <v>0</v>
      </c>
      <c r="L322" s="18">
        <f t="shared" si="79"/>
        <v>0</v>
      </c>
      <c r="M322" s="18">
        <f t="shared" si="79"/>
        <v>0</v>
      </c>
      <c r="N322" s="18">
        <f t="shared" si="79"/>
        <v>0</v>
      </c>
      <c r="O322" s="18">
        <f t="shared" si="79"/>
        <v>0</v>
      </c>
      <c r="P322" s="18">
        <f t="shared" si="79"/>
        <v>0</v>
      </c>
      <c r="Q322" s="18">
        <f t="shared" si="79"/>
        <v>0</v>
      </c>
      <c r="R322" s="248">
        <f>SUM(F322:Q322)</f>
        <v>0</v>
      </c>
      <c r="S322" s="248">
        <f>SUM(S320:S321)</f>
        <v>0</v>
      </c>
      <c r="T322" s="248">
        <f>SUM(T320:T321)</f>
        <v>0</v>
      </c>
    </row>
    <row r="323" spans="1:20" x14ac:dyDescent="0.2">
      <c r="A323" s="16"/>
      <c r="B323" s="240">
        <v>59900300</v>
      </c>
      <c r="C323" t="s">
        <v>413</v>
      </c>
      <c r="D323" s="385"/>
      <c r="E323" s="385"/>
      <c r="F323" s="8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96"/>
      <c r="S323" s="196"/>
      <c r="T323" s="196"/>
    </row>
    <row r="324" spans="1:20" s="384" customFormat="1" x14ac:dyDescent="0.2">
      <c r="A324" s="382"/>
      <c r="B324" s="383"/>
      <c r="C324" s="384" t="s">
        <v>91</v>
      </c>
      <c r="D324" s="385">
        <v>0</v>
      </c>
      <c r="E324" s="385">
        <v>0</v>
      </c>
      <c r="F324" s="386">
        <v>0</v>
      </c>
      <c r="G324" s="386">
        <v>0</v>
      </c>
      <c r="H324" s="386">
        <v>0</v>
      </c>
      <c r="I324" s="386">
        <v>0</v>
      </c>
      <c r="J324" s="386">
        <v>0</v>
      </c>
      <c r="K324" s="386">
        <v>0</v>
      </c>
      <c r="L324" s="386">
        <v>0</v>
      </c>
      <c r="M324" s="386">
        <v>0</v>
      </c>
      <c r="N324" s="386">
        <v>0</v>
      </c>
      <c r="O324" s="386">
        <v>0</v>
      </c>
      <c r="P324" s="386">
        <v>0</v>
      </c>
      <c r="Q324" s="386">
        <v>0</v>
      </c>
      <c r="R324" s="387">
        <f>SUM(F324:Q324)</f>
        <v>0</v>
      </c>
      <c r="S324" s="388">
        <f>ROUND(R324*1.05,0)</f>
        <v>0</v>
      </c>
      <c r="T324" s="388">
        <f>ROUND(S324*1.05,0)</f>
        <v>0</v>
      </c>
    </row>
    <row r="325" spans="1:20" s="384" customFormat="1" x14ac:dyDescent="0.2">
      <c r="A325" s="382"/>
      <c r="B325" s="383"/>
      <c r="C325" s="384" t="s">
        <v>91</v>
      </c>
      <c r="D325" s="389">
        <v>0</v>
      </c>
      <c r="E325" s="389">
        <v>0</v>
      </c>
      <c r="F325" s="390">
        <v>0</v>
      </c>
      <c r="G325" s="390">
        <v>0</v>
      </c>
      <c r="H325" s="390">
        <v>0</v>
      </c>
      <c r="I325" s="390">
        <v>0</v>
      </c>
      <c r="J325" s="390">
        <v>0</v>
      </c>
      <c r="K325" s="390">
        <v>0</v>
      </c>
      <c r="L325" s="390">
        <v>0</v>
      </c>
      <c r="M325" s="390">
        <v>0</v>
      </c>
      <c r="N325" s="390">
        <v>0</v>
      </c>
      <c r="O325" s="390">
        <v>0</v>
      </c>
      <c r="P325" s="390">
        <v>0</v>
      </c>
      <c r="Q325" s="390">
        <v>0</v>
      </c>
      <c r="R325" s="391">
        <f>SUM(F325:Q325)</f>
        <v>0</v>
      </c>
      <c r="S325" s="392">
        <f>ROUND(R325*1.05,0)</f>
        <v>0</v>
      </c>
      <c r="T325" s="392">
        <f>ROUND(S325*1.05,0)</f>
        <v>0</v>
      </c>
    </row>
    <row r="326" spans="1:20" s="18" customFormat="1" x14ac:dyDescent="0.2">
      <c r="A326" s="324"/>
      <c r="B326" s="325"/>
      <c r="C326" s="18" t="s">
        <v>92</v>
      </c>
      <c r="D326" s="432">
        <f t="shared" ref="D326:Q326" si="80">SUM(D324:D325)</f>
        <v>0</v>
      </c>
      <c r="E326" s="432">
        <f t="shared" si="80"/>
        <v>0</v>
      </c>
      <c r="F326" s="18">
        <f t="shared" si="80"/>
        <v>0</v>
      </c>
      <c r="G326" s="18">
        <f t="shared" si="80"/>
        <v>0</v>
      </c>
      <c r="H326" s="18">
        <f t="shared" si="80"/>
        <v>0</v>
      </c>
      <c r="I326" s="18">
        <f t="shared" si="80"/>
        <v>0</v>
      </c>
      <c r="J326" s="18">
        <f t="shared" si="80"/>
        <v>0</v>
      </c>
      <c r="K326" s="18">
        <f t="shared" si="80"/>
        <v>0</v>
      </c>
      <c r="L326" s="18">
        <f t="shared" si="80"/>
        <v>0</v>
      </c>
      <c r="M326" s="18">
        <f t="shared" si="80"/>
        <v>0</v>
      </c>
      <c r="N326" s="18">
        <f t="shared" si="80"/>
        <v>0</v>
      </c>
      <c r="O326" s="18">
        <f t="shared" si="80"/>
        <v>0</v>
      </c>
      <c r="P326" s="18">
        <f t="shared" si="80"/>
        <v>0</v>
      </c>
      <c r="Q326" s="18">
        <f t="shared" si="80"/>
        <v>0</v>
      </c>
      <c r="R326" s="248">
        <f>SUM(F326:Q326)</f>
        <v>0</v>
      </c>
      <c r="S326" s="248">
        <f>SUM(S324:S325)</f>
        <v>0</v>
      </c>
      <c r="T326" s="248">
        <f>SUM(T324:T325)</f>
        <v>0</v>
      </c>
    </row>
    <row r="327" spans="1:20" x14ac:dyDescent="0.2">
      <c r="A327" s="16"/>
      <c r="B327" s="240">
        <v>59900400</v>
      </c>
      <c r="C327" t="s">
        <v>414</v>
      </c>
      <c r="D327" s="385"/>
      <c r="E327" s="385"/>
      <c r="F327" s="8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96"/>
      <c r="S327" s="196"/>
      <c r="T327" s="196"/>
    </row>
    <row r="328" spans="1:20" s="384" customFormat="1" x14ac:dyDescent="0.2">
      <c r="A328" s="382"/>
      <c r="B328" s="383"/>
      <c r="C328" s="384" t="s">
        <v>91</v>
      </c>
      <c r="D328" s="385">
        <v>0</v>
      </c>
      <c r="E328" s="385">
        <v>0</v>
      </c>
      <c r="F328" s="386">
        <v>0</v>
      </c>
      <c r="G328" s="386">
        <v>0</v>
      </c>
      <c r="H328" s="386">
        <v>0</v>
      </c>
      <c r="I328" s="386">
        <v>0</v>
      </c>
      <c r="J328" s="386">
        <v>0</v>
      </c>
      <c r="K328" s="386">
        <v>0</v>
      </c>
      <c r="L328" s="386">
        <v>0</v>
      </c>
      <c r="M328" s="386">
        <v>0</v>
      </c>
      <c r="N328" s="386">
        <v>0</v>
      </c>
      <c r="O328" s="386">
        <v>0</v>
      </c>
      <c r="P328" s="386">
        <v>0</v>
      </c>
      <c r="Q328" s="386">
        <v>0</v>
      </c>
      <c r="R328" s="387">
        <f>SUM(F328:Q328)</f>
        <v>0</v>
      </c>
      <c r="S328" s="388">
        <f>ROUND(R328*1.05,0)</f>
        <v>0</v>
      </c>
      <c r="T328" s="388">
        <f>ROUND(S328*1.05,0)</f>
        <v>0</v>
      </c>
    </row>
    <row r="329" spans="1:20" s="384" customFormat="1" x14ac:dyDescent="0.2">
      <c r="A329" s="382"/>
      <c r="B329" s="383"/>
      <c r="C329" s="384" t="s">
        <v>91</v>
      </c>
      <c r="D329" s="389">
        <v>0</v>
      </c>
      <c r="E329" s="389">
        <v>0</v>
      </c>
      <c r="F329" s="390">
        <v>0</v>
      </c>
      <c r="G329" s="390">
        <v>0</v>
      </c>
      <c r="H329" s="390">
        <v>0</v>
      </c>
      <c r="I329" s="390">
        <v>0</v>
      </c>
      <c r="J329" s="390">
        <v>0</v>
      </c>
      <c r="K329" s="390">
        <v>0</v>
      </c>
      <c r="L329" s="390">
        <v>0</v>
      </c>
      <c r="M329" s="390">
        <v>0</v>
      </c>
      <c r="N329" s="390">
        <v>0</v>
      </c>
      <c r="O329" s="390">
        <v>0</v>
      </c>
      <c r="P329" s="390">
        <v>0</v>
      </c>
      <c r="Q329" s="390">
        <v>0</v>
      </c>
      <c r="R329" s="391">
        <f>SUM(F329:Q329)</f>
        <v>0</v>
      </c>
      <c r="S329" s="392">
        <f>ROUND(R329*1.05,0)</f>
        <v>0</v>
      </c>
      <c r="T329" s="392">
        <f>ROUND(S329*1.05,0)</f>
        <v>0</v>
      </c>
    </row>
    <row r="330" spans="1:20" s="18" customFormat="1" x14ac:dyDescent="0.2">
      <c r="A330" s="324"/>
      <c r="B330" s="325"/>
      <c r="C330" s="18" t="s">
        <v>92</v>
      </c>
      <c r="D330" s="432">
        <f t="shared" ref="D330:Q330" si="81">SUM(D328:D329)</f>
        <v>0</v>
      </c>
      <c r="E330" s="432">
        <f t="shared" si="81"/>
        <v>0</v>
      </c>
      <c r="F330" s="18">
        <f t="shared" si="81"/>
        <v>0</v>
      </c>
      <c r="G330" s="18">
        <f t="shared" si="81"/>
        <v>0</v>
      </c>
      <c r="H330" s="18">
        <f t="shared" si="81"/>
        <v>0</v>
      </c>
      <c r="I330" s="18">
        <f t="shared" si="81"/>
        <v>0</v>
      </c>
      <c r="J330" s="18">
        <f t="shared" si="81"/>
        <v>0</v>
      </c>
      <c r="K330" s="18">
        <f t="shared" si="81"/>
        <v>0</v>
      </c>
      <c r="L330" s="18">
        <f t="shared" si="81"/>
        <v>0</v>
      </c>
      <c r="M330" s="18">
        <f t="shared" si="81"/>
        <v>0</v>
      </c>
      <c r="N330" s="18">
        <f t="shared" si="81"/>
        <v>0</v>
      </c>
      <c r="O330" s="18">
        <f t="shared" si="81"/>
        <v>0</v>
      </c>
      <c r="P330" s="18">
        <f t="shared" si="81"/>
        <v>0</v>
      </c>
      <c r="Q330" s="18">
        <f t="shared" si="81"/>
        <v>0</v>
      </c>
      <c r="R330" s="248">
        <f>SUM(F330:Q330)</f>
        <v>0</v>
      </c>
      <c r="S330" s="248">
        <f>SUM(S328:S329)</f>
        <v>0</v>
      </c>
      <c r="T330" s="248">
        <f>SUM(T328:T329)</f>
        <v>0</v>
      </c>
    </row>
    <row r="331" spans="1:20" x14ac:dyDescent="0.2">
      <c r="A331" s="16"/>
      <c r="B331" s="240">
        <v>59900500</v>
      </c>
      <c r="C331" t="s">
        <v>415</v>
      </c>
      <c r="D331" s="385"/>
      <c r="E331" s="385"/>
      <c r="F331" s="8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96"/>
      <c r="S331" s="196"/>
      <c r="T331" s="196"/>
    </row>
    <row r="332" spans="1:20" s="384" customFormat="1" x14ac:dyDescent="0.2">
      <c r="A332" s="382"/>
      <c r="B332" s="383"/>
      <c r="C332" s="384" t="s">
        <v>91</v>
      </c>
      <c r="D332" s="385">
        <v>0</v>
      </c>
      <c r="E332" s="385">
        <v>0</v>
      </c>
      <c r="F332" s="386">
        <v>0</v>
      </c>
      <c r="G332" s="386">
        <v>0</v>
      </c>
      <c r="H332" s="386">
        <v>0</v>
      </c>
      <c r="I332" s="386">
        <v>0</v>
      </c>
      <c r="J332" s="386">
        <v>0</v>
      </c>
      <c r="K332" s="386">
        <v>0</v>
      </c>
      <c r="L332" s="386">
        <v>0</v>
      </c>
      <c r="M332" s="386">
        <v>0</v>
      </c>
      <c r="N332" s="386">
        <v>0</v>
      </c>
      <c r="O332" s="386">
        <v>0</v>
      </c>
      <c r="P332" s="386">
        <v>0</v>
      </c>
      <c r="Q332" s="386">
        <v>0</v>
      </c>
      <c r="R332" s="387">
        <f>SUM(F332:Q332)</f>
        <v>0</v>
      </c>
      <c r="S332" s="388">
        <f>ROUND(R332*1.05,0)</f>
        <v>0</v>
      </c>
      <c r="T332" s="388">
        <f>ROUND(S332*1.05,0)</f>
        <v>0</v>
      </c>
    </row>
    <row r="333" spans="1:20" s="384" customFormat="1" x14ac:dyDescent="0.2">
      <c r="A333" s="382"/>
      <c r="B333" s="383"/>
      <c r="C333" s="384" t="s">
        <v>91</v>
      </c>
      <c r="D333" s="389">
        <v>0</v>
      </c>
      <c r="E333" s="389">
        <v>0</v>
      </c>
      <c r="F333" s="390">
        <v>0</v>
      </c>
      <c r="G333" s="390">
        <v>0</v>
      </c>
      <c r="H333" s="390">
        <v>0</v>
      </c>
      <c r="I333" s="390">
        <v>0</v>
      </c>
      <c r="J333" s="390">
        <v>0</v>
      </c>
      <c r="K333" s="390">
        <v>0</v>
      </c>
      <c r="L333" s="390">
        <v>0</v>
      </c>
      <c r="M333" s="390">
        <v>0</v>
      </c>
      <c r="N333" s="390">
        <v>0</v>
      </c>
      <c r="O333" s="390">
        <v>0</v>
      </c>
      <c r="P333" s="390">
        <v>0</v>
      </c>
      <c r="Q333" s="390">
        <v>0</v>
      </c>
      <c r="R333" s="391">
        <f>SUM(F333:Q333)</f>
        <v>0</v>
      </c>
      <c r="S333" s="392">
        <f>ROUND(R333*1.05,0)</f>
        <v>0</v>
      </c>
      <c r="T333" s="392">
        <f>ROUND(S333*1.05,0)</f>
        <v>0</v>
      </c>
    </row>
    <row r="334" spans="1:20" s="18" customFormat="1" x14ac:dyDescent="0.2">
      <c r="A334" s="324"/>
      <c r="B334" s="325"/>
      <c r="C334" s="18" t="s">
        <v>92</v>
      </c>
      <c r="D334" s="432">
        <f t="shared" ref="D334:Q334" si="82">SUM(D332:D333)</f>
        <v>0</v>
      </c>
      <c r="E334" s="432">
        <f t="shared" si="82"/>
        <v>0</v>
      </c>
      <c r="F334" s="18">
        <f t="shared" si="82"/>
        <v>0</v>
      </c>
      <c r="G334" s="18">
        <f t="shared" si="82"/>
        <v>0</v>
      </c>
      <c r="H334" s="18">
        <f t="shared" si="82"/>
        <v>0</v>
      </c>
      <c r="I334" s="18">
        <f t="shared" si="82"/>
        <v>0</v>
      </c>
      <c r="J334" s="18">
        <f t="shared" si="82"/>
        <v>0</v>
      </c>
      <c r="K334" s="18">
        <f t="shared" si="82"/>
        <v>0</v>
      </c>
      <c r="L334" s="18">
        <f t="shared" si="82"/>
        <v>0</v>
      </c>
      <c r="M334" s="18">
        <f t="shared" si="82"/>
        <v>0</v>
      </c>
      <c r="N334" s="18">
        <f t="shared" si="82"/>
        <v>0</v>
      </c>
      <c r="O334" s="18">
        <f t="shared" si="82"/>
        <v>0</v>
      </c>
      <c r="P334" s="18">
        <f t="shared" si="82"/>
        <v>0</v>
      </c>
      <c r="Q334" s="18">
        <f t="shared" si="82"/>
        <v>0</v>
      </c>
      <c r="R334" s="248">
        <f>SUM(F334:Q334)</f>
        <v>0</v>
      </c>
      <c r="S334" s="248">
        <f>SUM(S332:S333)</f>
        <v>0</v>
      </c>
      <c r="T334" s="248">
        <f>SUM(T332:T333)</f>
        <v>0</v>
      </c>
    </row>
    <row r="335" spans="1:20" x14ac:dyDescent="0.2">
      <c r="A335" s="16"/>
      <c r="B335" s="240">
        <v>59900600</v>
      </c>
      <c r="C335" t="s">
        <v>416</v>
      </c>
      <c r="D335" s="385"/>
      <c r="E335" s="385"/>
      <c r="F335" s="8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96"/>
      <c r="S335" s="196"/>
      <c r="T335" s="196"/>
    </row>
    <row r="336" spans="1:20" s="384" customFormat="1" x14ac:dyDescent="0.2">
      <c r="A336" s="382"/>
      <c r="B336" s="383"/>
      <c r="C336" s="384" t="s">
        <v>91</v>
      </c>
      <c r="D336" s="385">
        <v>0</v>
      </c>
      <c r="E336" s="385">
        <v>0</v>
      </c>
      <c r="F336" s="386">
        <v>0</v>
      </c>
      <c r="G336" s="386">
        <v>0</v>
      </c>
      <c r="H336" s="386">
        <v>0</v>
      </c>
      <c r="I336" s="386">
        <v>0</v>
      </c>
      <c r="J336" s="386">
        <v>0</v>
      </c>
      <c r="K336" s="386">
        <v>0</v>
      </c>
      <c r="L336" s="386">
        <v>0</v>
      </c>
      <c r="M336" s="386">
        <v>0</v>
      </c>
      <c r="N336" s="386">
        <v>0</v>
      </c>
      <c r="O336" s="386">
        <v>0</v>
      </c>
      <c r="P336" s="386">
        <v>0</v>
      </c>
      <c r="Q336" s="386">
        <v>0</v>
      </c>
      <c r="R336" s="387">
        <f>SUM(F336:Q336)</f>
        <v>0</v>
      </c>
      <c r="S336" s="388">
        <f>ROUND(R336*1.05,0)</f>
        <v>0</v>
      </c>
      <c r="T336" s="388">
        <f>ROUND(S336*1.05,0)</f>
        <v>0</v>
      </c>
    </row>
    <row r="337" spans="1:22" s="384" customFormat="1" x14ac:dyDescent="0.2">
      <c r="A337" s="382"/>
      <c r="B337" s="383"/>
      <c r="C337" s="384" t="s">
        <v>91</v>
      </c>
      <c r="D337" s="389">
        <v>0</v>
      </c>
      <c r="E337" s="389">
        <v>0</v>
      </c>
      <c r="F337" s="390">
        <v>0</v>
      </c>
      <c r="G337" s="390">
        <v>0</v>
      </c>
      <c r="H337" s="390">
        <v>0</v>
      </c>
      <c r="I337" s="390">
        <v>0</v>
      </c>
      <c r="J337" s="390">
        <v>0</v>
      </c>
      <c r="K337" s="390">
        <v>0</v>
      </c>
      <c r="L337" s="390">
        <v>0</v>
      </c>
      <c r="M337" s="390">
        <v>0</v>
      </c>
      <c r="N337" s="390">
        <v>0</v>
      </c>
      <c r="O337" s="390">
        <v>0</v>
      </c>
      <c r="P337" s="390">
        <v>0</v>
      </c>
      <c r="Q337" s="390">
        <v>0</v>
      </c>
      <c r="R337" s="391">
        <f>SUM(F337:Q337)</f>
        <v>0</v>
      </c>
      <c r="S337" s="392">
        <f>ROUND(R337*1.05,0)</f>
        <v>0</v>
      </c>
      <c r="T337" s="392">
        <f>ROUND(S337*1.05,0)</f>
        <v>0</v>
      </c>
    </row>
    <row r="338" spans="1:22" s="18" customFormat="1" x14ac:dyDescent="0.2">
      <c r="A338" s="324"/>
      <c r="B338" s="325"/>
      <c r="C338" s="18" t="s">
        <v>92</v>
      </c>
      <c r="D338" s="432">
        <f t="shared" ref="D338:Q338" si="83">SUM(D336:D337)</f>
        <v>0</v>
      </c>
      <c r="E338" s="432">
        <f t="shared" si="83"/>
        <v>0</v>
      </c>
      <c r="F338" s="18">
        <f t="shared" si="83"/>
        <v>0</v>
      </c>
      <c r="G338" s="18">
        <f t="shared" si="83"/>
        <v>0</v>
      </c>
      <c r="H338" s="18">
        <f t="shared" si="83"/>
        <v>0</v>
      </c>
      <c r="I338" s="18">
        <f t="shared" si="83"/>
        <v>0</v>
      </c>
      <c r="J338" s="18">
        <f t="shared" si="83"/>
        <v>0</v>
      </c>
      <c r="K338" s="18">
        <f t="shared" si="83"/>
        <v>0</v>
      </c>
      <c r="L338" s="18">
        <f t="shared" si="83"/>
        <v>0</v>
      </c>
      <c r="M338" s="18">
        <f t="shared" si="83"/>
        <v>0</v>
      </c>
      <c r="N338" s="18">
        <f t="shared" si="83"/>
        <v>0</v>
      </c>
      <c r="O338" s="18">
        <f t="shared" si="83"/>
        <v>0</v>
      </c>
      <c r="P338" s="18">
        <f t="shared" si="83"/>
        <v>0</v>
      </c>
      <c r="Q338" s="18">
        <f t="shared" si="83"/>
        <v>0</v>
      </c>
      <c r="R338" s="248">
        <f>SUM(F338:Q338)</f>
        <v>0</v>
      </c>
      <c r="S338" s="248">
        <f>SUM(S336:S337)</f>
        <v>0</v>
      </c>
      <c r="T338" s="248">
        <f>SUM(T336:T337)</f>
        <v>0</v>
      </c>
    </row>
    <row r="339" spans="1:22" s="77" customFormat="1" ht="15.75" x14ac:dyDescent="0.25">
      <c r="A339" s="88"/>
      <c r="B339" s="314"/>
      <c r="C339" s="77" t="s">
        <v>409</v>
      </c>
      <c r="D339" s="435">
        <f t="shared" ref="D339:T339" si="84">+D226+D230+D234+D238+D242+D246+D250+D254+D258+D262+D266+D270+D274+D278+D282+D286+D290+D294+D298+D302+D306+D310+D314+D318+D322+D326+D330+D334+D338</f>
        <v>0</v>
      </c>
      <c r="E339" s="435">
        <f t="shared" si="84"/>
        <v>0</v>
      </c>
      <c r="F339" s="331">
        <f t="shared" si="84"/>
        <v>0</v>
      </c>
      <c r="G339" s="331">
        <f t="shared" si="84"/>
        <v>0</v>
      </c>
      <c r="H339" s="331">
        <f t="shared" si="84"/>
        <v>0</v>
      </c>
      <c r="I339" s="331">
        <f t="shared" si="84"/>
        <v>0</v>
      </c>
      <c r="J339" s="331">
        <f t="shared" si="84"/>
        <v>0</v>
      </c>
      <c r="K339" s="331">
        <f t="shared" si="84"/>
        <v>0</v>
      </c>
      <c r="L339" s="331">
        <f t="shared" si="84"/>
        <v>0</v>
      </c>
      <c r="M339" s="331">
        <f t="shared" si="84"/>
        <v>0</v>
      </c>
      <c r="N339" s="331">
        <f t="shared" si="84"/>
        <v>0</v>
      </c>
      <c r="O339" s="331">
        <f t="shared" si="84"/>
        <v>0</v>
      </c>
      <c r="P339" s="331">
        <f t="shared" si="84"/>
        <v>0</v>
      </c>
      <c r="Q339" s="331">
        <f t="shared" si="84"/>
        <v>0</v>
      </c>
      <c r="R339" s="201">
        <f t="shared" si="84"/>
        <v>0</v>
      </c>
      <c r="S339" s="201">
        <f t="shared" si="84"/>
        <v>0</v>
      </c>
      <c r="T339" s="201">
        <f t="shared" si="84"/>
        <v>0</v>
      </c>
    </row>
    <row r="340" spans="1:22" x14ac:dyDescent="0.2">
      <c r="A340" s="58"/>
      <c r="B340" s="240"/>
      <c r="D340" s="385"/>
      <c r="E340" s="38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96"/>
      <c r="S340" s="196"/>
      <c r="T340" s="196"/>
    </row>
    <row r="341" spans="1:22" s="12" customFormat="1" ht="31.5" customHeight="1" thickBot="1" x14ac:dyDescent="0.3">
      <c r="B341" s="317"/>
      <c r="C341" s="83" t="s">
        <v>114</v>
      </c>
      <c r="D341" s="439">
        <f>+D35+D39+D43+D76+D212+D219+D339</f>
        <v>3138344</v>
      </c>
      <c r="E341" s="439">
        <f>+E35+E39+E43+E76+E212+E219+E339</f>
        <v>4280825</v>
      </c>
      <c r="F341" s="12">
        <f>+F35+F39+F43+F76+F212+F219+F339</f>
        <v>599441.91666666651</v>
      </c>
      <c r="G341" s="12">
        <f t="shared" ref="G341:T341" si="85">+G35+G39+G43+G76+G212+G219+G339</f>
        <v>559441.91666666651</v>
      </c>
      <c r="H341" s="12">
        <f t="shared" si="85"/>
        <v>559441.91666666651</v>
      </c>
      <c r="I341" s="12">
        <f t="shared" si="85"/>
        <v>559441.91666666651</v>
      </c>
      <c r="J341" s="12">
        <f t="shared" si="85"/>
        <v>570750.66666666674</v>
      </c>
      <c r="K341" s="12">
        <f t="shared" si="85"/>
        <v>570750.66666666674</v>
      </c>
      <c r="L341" s="12">
        <f t="shared" si="85"/>
        <v>568194.66666666674</v>
      </c>
      <c r="M341" s="12">
        <f t="shared" si="85"/>
        <v>568194.66666666674</v>
      </c>
      <c r="N341" s="12">
        <f t="shared" si="85"/>
        <v>555312.66666666674</v>
      </c>
      <c r="O341" s="12">
        <f t="shared" si="85"/>
        <v>555312.66666666674</v>
      </c>
      <c r="P341" s="12">
        <f t="shared" si="85"/>
        <v>555312.66666666674</v>
      </c>
      <c r="Q341" s="12">
        <f t="shared" si="85"/>
        <v>555312.66666666674</v>
      </c>
      <c r="R341" s="204">
        <f t="shared" si="85"/>
        <v>6776909</v>
      </c>
      <c r="S341" s="204">
        <f t="shared" si="85"/>
        <v>6751051.4855599999</v>
      </c>
      <c r="T341" s="204">
        <f t="shared" si="85"/>
        <v>7028621.9849824011</v>
      </c>
    </row>
    <row r="342" spans="1:22" ht="15.75" thickTop="1" x14ac:dyDescent="0.2">
      <c r="D342" s="387"/>
      <c r="E342" s="387"/>
      <c r="F342"/>
      <c r="G342"/>
      <c r="H342"/>
      <c r="I342"/>
      <c r="J342"/>
      <c r="K342"/>
      <c r="L342"/>
      <c r="M342"/>
      <c r="N342"/>
      <c r="O342"/>
      <c r="P342"/>
      <c r="Q342"/>
      <c r="R342" s="196"/>
      <c r="S342" s="196"/>
      <c r="T342" s="196"/>
    </row>
    <row r="343" spans="1:22" x14ac:dyDescent="0.2">
      <c r="D343" s="385"/>
      <c r="E343" s="385"/>
      <c r="F343" s="8"/>
      <c r="G343" s="8"/>
      <c r="H343" s="8"/>
      <c r="I343" s="8"/>
      <c r="J343" s="65" t="s">
        <v>115</v>
      </c>
      <c r="K343" s="8"/>
      <c r="L343" s="8"/>
      <c r="M343" s="8"/>
      <c r="N343" s="8"/>
      <c r="O343" s="8"/>
      <c r="P343" s="8"/>
      <c r="Q343" s="8"/>
      <c r="R343" s="196"/>
      <c r="S343" s="196"/>
      <c r="T343" s="196"/>
    </row>
    <row r="344" spans="1:22" x14ac:dyDescent="0.2">
      <c r="D344" s="385"/>
      <c r="E344" s="385"/>
      <c r="F344" s="8"/>
      <c r="G344" s="8"/>
      <c r="H344" s="8"/>
      <c r="I344" s="8"/>
      <c r="J344" s="65" t="s">
        <v>116</v>
      </c>
      <c r="K344" s="8"/>
      <c r="L344" s="8"/>
      <c r="M344" s="8"/>
      <c r="N344" s="8"/>
      <c r="O344" s="8"/>
      <c r="P344" s="8"/>
      <c r="Q344" s="8"/>
      <c r="R344" s="196"/>
      <c r="S344" s="196"/>
      <c r="T344" s="196"/>
    </row>
    <row r="345" spans="1:22" x14ac:dyDescent="0.2">
      <c r="D345" s="387"/>
      <c r="E345" s="387"/>
      <c r="F345"/>
      <c r="G345"/>
      <c r="H345"/>
      <c r="I345"/>
      <c r="J345" s="402">
        <v>4.2500000000000003E-2</v>
      </c>
      <c r="K345"/>
      <c r="L345"/>
      <c r="M345"/>
      <c r="N345"/>
      <c r="O345"/>
      <c r="P345"/>
      <c r="Q345"/>
      <c r="R345" s="196"/>
      <c r="S345" s="196"/>
      <c r="T345" s="196"/>
    </row>
    <row r="346" spans="1:22" x14ac:dyDescent="0.2">
      <c r="D346" s="387"/>
      <c r="E346" s="387"/>
      <c r="F346"/>
      <c r="G346"/>
      <c r="H346"/>
      <c r="I346"/>
      <c r="J346" s="191"/>
      <c r="K346"/>
      <c r="L346"/>
      <c r="M346"/>
      <c r="N346"/>
      <c r="O346"/>
      <c r="P346"/>
      <c r="Q346"/>
      <c r="R346" s="196"/>
      <c r="S346" s="196"/>
      <c r="T346" s="196"/>
    </row>
    <row r="347" spans="1:22" ht="15.75" x14ac:dyDescent="0.25">
      <c r="C347" s="13" t="s">
        <v>117</v>
      </c>
      <c r="D347" s="387"/>
      <c r="E347" s="387"/>
      <c r="F347"/>
      <c r="G347"/>
      <c r="H347"/>
      <c r="I347"/>
      <c r="J347"/>
      <c r="K347"/>
      <c r="L347"/>
      <c r="M347"/>
      <c r="N347"/>
      <c r="O347"/>
      <c r="P347"/>
      <c r="Q347"/>
      <c r="R347" s="196"/>
      <c r="S347" s="196"/>
      <c r="T347" s="196"/>
    </row>
    <row r="348" spans="1:22" s="398" customFormat="1" x14ac:dyDescent="0.2">
      <c r="A348" s="403"/>
      <c r="B348" s="446"/>
      <c r="C348" s="398" t="s">
        <v>118</v>
      </c>
      <c r="D348" s="388">
        <v>0</v>
      </c>
      <c r="E348" s="388">
        <v>0</v>
      </c>
      <c r="F348" s="398">
        <f>V348/12</f>
        <v>16667</v>
      </c>
      <c r="G348" s="398">
        <v>16667</v>
      </c>
      <c r="H348" s="398">
        <v>16667</v>
      </c>
      <c r="I348" s="398">
        <v>16667</v>
      </c>
      <c r="J348" s="405">
        <f>ROUND(+I348*1.0425,0)</f>
        <v>17375</v>
      </c>
      <c r="K348" s="405">
        <f t="shared" ref="K348:Q356" si="86">+J348</f>
        <v>17375</v>
      </c>
      <c r="L348" s="405">
        <f t="shared" si="86"/>
        <v>17375</v>
      </c>
      <c r="M348" s="405">
        <f t="shared" si="86"/>
        <v>17375</v>
      </c>
      <c r="N348" s="405">
        <f t="shared" si="86"/>
        <v>17375</v>
      </c>
      <c r="O348" s="405">
        <f t="shared" si="86"/>
        <v>17375</v>
      </c>
      <c r="P348" s="405">
        <f t="shared" si="86"/>
        <v>17375</v>
      </c>
      <c r="Q348" s="405">
        <f t="shared" si="86"/>
        <v>17375</v>
      </c>
      <c r="R348" s="406">
        <f t="shared" ref="R348:R356" si="87">SUM(F348:Q348)</f>
        <v>205668</v>
      </c>
      <c r="S348" s="388">
        <f t="shared" ref="S348:T367" si="88">R348*1.04</f>
        <v>213894.72</v>
      </c>
      <c r="T348" s="388">
        <f t="shared" si="88"/>
        <v>222450.50880000001</v>
      </c>
      <c r="V348" s="398">
        <v>200004</v>
      </c>
    </row>
    <row r="349" spans="1:22" s="398" customFormat="1" x14ac:dyDescent="0.2">
      <c r="A349" s="403"/>
      <c r="B349" s="446"/>
      <c r="C349" s="398" t="s">
        <v>119</v>
      </c>
      <c r="D349" s="388">
        <v>0</v>
      </c>
      <c r="E349" s="388">
        <v>0</v>
      </c>
      <c r="F349" s="398">
        <f t="shared" ref="F349:F386" si="89">V349/12</f>
        <v>16667</v>
      </c>
      <c r="G349" s="398">
        <v>16667</v>
      </c>
      <c r="H349" s="398">
        <v>16667</v>
      </c>
      <c r="I349" s="398">
        <v>16667</v>
      </c>
      <c r="J349" s="405">
        <f t="shared" ref="J349:J386" si="90">ROUND(+I349*1.0425,0)</f>
        <v>17375</v>
      </c>
      <c r="K349" s="405">
        <f t="shared" si="86"/>
        <v>17375</v>
      </c>
      <c r="L349" s="405">
        <f t="shared" si="86"/>
        <v>17375</v>
      </c>
      <c r="M349" s="405">
        <f t="shared" si="86"/>
        <v>17375</v>
      </c>
      <c r="N349" s="405">
        <f t="shared" si="86"/>
        <v>17375</v>
      </c>
      <c r="O349" s="405">
        <f t="shared" si="86"/>
        <v>17375</v>
      </c>
      <c r="P349" s="405">
        <f t="shared" si="86"/>
        <v>17375</v>
      </c>
      <c r="Q349" s="405">
        <f t="shared" si="86"/>
        <v>17375</v>
      </c>
      <c r="R349" s="406">
        <f t="shared" si="87"/>
        <v>205668</v>
      </c>
      <c r="S349" s="388">
        <f t="shared" si="88"/>
        <v>213894.72</v>
      </c>
      <c r="T349" s="388">
        <f t="shared" si="88"/>
        <v>222450.50880000001</v>
      </c>
      <c r="V349" s="398">
        <v>200004</v>
      </c>
    </row>
    <row r="350" spans="1:22" s="398" customFormat="1" x14ac:dyDescent="0.2">
      <c r="A350" s="403"/>
      <c r="B350" s="446"/>
      <c r="C350" s="398" t="s">
        <v>120</v>
      </c>
      <c r="D350" s="388">
        <v>0</v>
      </c>
      <c r="E350" s="388">
        <v>0</v>
      </c>
      <c r="F350" s="398">
        <f t="shared" si="89"/>
        <v>16667</v>
      </c>
      <c r="G350" s="398">
        <v>16667</v>
      </c>
      <c r="H350" s="398">
        <v>16667</v>
      </c>
      <c r="I350" s="398">
        <v>16667</v>
      </c>
      <c r="J350" s="405">
        <f t="shared" si="90"/>
        <v>17375</v>
      </c>
      <c r="K350" s="405">
        <f t="shared" si="86"/>
        <v>17375</v>
      </c>
      <c r="L350" s="405">
        <f t="shared" si="86"/>
        <v>17375</v>
      </c>
      <c r="M350" s="405">
        <f t="shared" si="86"/>
        <v>17375</v>
      </c>
      <c r="N350" s="405">
        <f t="shared" si="86"/>
        <v>17375</v>
      </c>
      <c r="O350" s="405">
        <f t="shared" si="86"/>
        <v>17375</v>
      </c>
      <c r="P350" s="405">
        <f t="shared" si="86"/>
        <v>17375</v>
      </c>
      <c r="Q350" s="405">
        <f t="shared" si="86"/>
        <v>17375</v>
      </c>
      <c r="R350" s="406">
        <f t="shared" si="87"/>
        <v>205668</v>
      </c>
      <c r="S350" s="388">
        <f t="shared" si="88"/>
        <v>213894.72</v>
      </c>
      <c r="T350" s="388">
        <f t="shared" si="88"/>
        <v>222450.50880000001</v>
      </c>
      <c r="V350" s="398">
        <v>200004</v>
      </c>
    </row>
    <row r="351" spans="1:22" s="398" customFormat="1" x14ac:dyDescent="0.2">
      <c r="A351" s="403"/>
      <c r="B351" s="446"/>
      <c r="C351" s="398" t="s">
        <v>121</v>
      </c>
      <c r="D351" s="388">
        <v>0</v>
      </c>
      <c r="E351" s="388">
        <v>0</v>
      </c>
      <c r="F351" s="398">
        <f t="shared" si="89"/>
        <v>16667</v>
      </c>
      <c r="G351" s="398">
        <v>16667</v>
      </c>
      <c r="H351" s="398">
        <v>16667</v>
      </c>
      <c r="I351" s="398">
        <v>16667</v>
      </c>
      <c r="J351" s="405">
        <f t="shared" si="90"/>
        <v>17375</v>
      </c>
      <c r="K351" s="405">
        <f t="shared" si="86"/>
        <v>17375</v>
      </c>
      <c r="L351" s="405">
        <f t="shared" si="86"/>
        <v>17375</v>
      </c>
      <c r="M351" s="405">
        <f t="shared" si="86"/>
        <v>17375</v>
      </c>
      <c r="N351" s="405">
        <f t="shared" si="86"/>
        <v>17375</v>
      </c>
      <c r="O351" s="405">
        <f t="shared" si="86"/>
        <v>17375</v>
      </c>
      <c r="P351" s="405">
        <f t="shared" si="86"/>
        <v>17375</v>
      </c>
      <c r="Q351" s="405">
        <f t="shared" si="86"/>
        <v>17375</v>
      </c>
      <c r="R351" s="406">
        <f t="shared" si="87"/>
        <v>205668</v>
      </c>
      <c r="S351" s="388">
        <f t="shared" si="88"/>
        <v>213894.72</v>
      </c>
      <c r="T351" s="388">
        <f t="shared" si="88"/>
        <v>222450.50880000001</v>
      </c>
      <c r="V351" s="398">
        <v>200004</v>
      </c>
    </row>
    <row r="352" spans="1:22" s="398" customFormat="1" x14ac:dyDescent="0.2">
      <c r="A352" s="403"/>
      <c r="B352" s="446"/>
      <c r="C352" s="398" t="s">
        <v>122</v>
      </c>
      <c r="D352" s="388">
        <v>0</v>
      </c>
      <c r="E352" s="388">
        <v>0</v>
      </c>
      <c r="F352" s="398">
        <f t="shared" si="89"/>
        <v>11685</v>
      </c>
      <c r="G352" s="398">
        <v>11685</v>
      </c>
      <c r="H352" s="398">
        <v>11685</v>
      </c>
      <c r="I352" s="398">
        <v>11685</v>
      </c>
      <c r="J352" s="405">
        <f t="shared" si="90"/>
        <v>12182</v>
      </c>
      <c r="K352" s="405">
        <f t="shared" si="86"/>
        <v>12182</v>
      </c>
      <c r="L352" s="405">
        <f t="shared" si="86"/>
        <v>12182</v>
      </c>
      <c r="M352" s="405">
        <f t="shared" si="86"/>
        <v>12182</v>
      </c>
      <c r="N352" s="405">
        <f t="shared" si="86"/>
        <v>12182</v>
      </c>
      <c r="O352" s="405">
        <f t="shared" si="86"/>
        <v>12182</v>
      </c>
      <c r="P352" s="405">
        <f t="shared" si="86"/>
        <v>12182</v>
      </c>
      <c r="Q352" s="405">
        <f t="shared" si="86"/>
        <v>12182</v>
      </c>
      <c r="R352" s="406">
        <f t="shared" si="87"/>
        <v>144196</v>
      </c>
      <c r="S352" s="388">
        <f t="shared" si="88"/>
        <v>149963.84</v>
      </c>
      <c r="T352" s="388">
        <f t="shared" si="88"/>
        <v>155962.39360000001</v>
      </c>
      <c r="V352" s="398">
        <v>140220</v>
      </c>
    </row>
    <row r="353" spans="1:22" s="398" customFormat="1" x14ac:dyDescent="0.2">
      <c r="A353" s="403"/>
      <c r="B353" s="446"/>
      <c r="C353" s="398" t="s">
        <v>123</v>
      </c>
      <c r="D353" s="388">
        <v>0</v>
      </c>
      <c r="E353" s="388">
        <v>0</v>
      </c>
      <c r="F353" s="398">
        <f t="shared" si="89"/>
        <v>9279.25</v>
      </c>
      <c r="G353" s="398">
        <v>9279.25</v>
      </c>
      <c r="H353" s="398">
        <v>9279.25</v>
      </c>
      <c r="I353" s="398">
        <v>9279.25</v>
      </c>
      <c r="J353" s="405">
        <f t="shared" si="90"/>
        <v>9674</v>
      </c>
      <c r="K353" s="405">
        <f t="shared" si="86"/>
        <v>9674</v>
      </c>
      <c r="L353" s="405">
        <f t="shared" si="86"/>
        <v>9674</v>
      </c>
      <c r="M353" s="405">
        <f t="shared" si="86"/>
        <v>9674</v>
      </c>
      <c r="N353" s="405">
        <f t="shared" si="86"/>
        <v>9674</v>
      </c>
      <c r="O353" s="405">
        <f t="shared" si="86"/>
        <v>9674</v>
      </c>
      <c r="P353" s="405">
        <f t="shared" si="86"/>
        <v>9674</v>
      </c>
      <c r="Q353" s="405">
        <f t="shared" si="86"/>
        <v>9674</v>
      </c>
      <c r="R353" s="406">
        <f t="shared" si="87"/>
        <v>114509</v>
      </c>
      <c r="S353" s="388">
        <f t="shared" si="88"/>
        <v>119089.36</v>
      </c>
      <c r="T353" s="388">
        <f t="shared" si="88"/>
        <v>123852.9344</v>
      </c>
      <c r="V353" s="398">
        <v>111351</v>
      </c>
    </row>
    <row r="354" spans="1:22" s="398" customFormat="1" x14ac:dyDescent="0.2">
      <c r="A354" s="403"/>
      <c r="B354" s="446"/>
      <c r="C354" s="398" t="s">
        <v>124</v>
      </c>
      <c r="D354" s="388">
        <v>0</v>
      </c>
      <c r="E354" s="388">
        <v>0</v>
      </c>
      <c r="F354" s="398">
        <f t="shared" si="89"/>
        <v>9279.25</v>
      </c>
      <c r="G354" s="398">
        <v>9279.25</v>
      </c>
      <c r="H354" s="398">
        <v>9279.25</v>
      </c>
      <c r="I354" s="398">
        <v>9279.25</v>
      </c>
      <c r="J354" s="405">
        <f t="shared" si="90"/>
        <v>9674</v>
      </c>
      <c r="K354" s="405">
        <f t="shared" si="86"/>
        <v>9674</v>
      </c>
      <c r="L354" s="405">
        <f t="shared" si="86"/>
        <v>9674</v>
      </c>
      <c r="M354" s="405">
        <f t="shared" si="86"/>
        <v>9674</v>
      </c>
      <c r="N354" s="405">
        <f t="shared" si="86"/>
        <v>9674</v>
      </c>
      <c r="O354" s="405">
        <f t="shared" si="86"/>
        <v>9674</v>
      </c>
      <c r="P354" s="405">
        <f t="shared" si="86"/>
        <v>9674</v>
      </c>
      <c r="Q354" s="405">
        <f t="shared" si="86"/>
        <v>9674</v>
      </c>
      <c r="R354" s="406">
        <f t="shared" si="87"/>
        <v>114509</v>
      </c>
      <c r="S354" s="388">
        <f t="shared" si="88"/>
        <v>119089.36</v>
      </c>
      <c r="T354" s="388">
        <f t="shared" si="88"/>
        <v>123852.9344</v>
      </c>
      <c r="V354" s="398">
        <v>111351</v>
      </c>
    </row>
    <row r="355" spans="1:22" s="398" customFormat="1" x14ac:dyDescent="0.2">
      <c r="A355" s="403"/>
      <c r="B355" s="446"/>
      <c r="C355" s="398" t="s">
        <v>125</v>
      </c>
      <c r="D355" s="388">
        <v>0</v>
      </c>
      <c r="E355" s="388">
        <v>0</v>
      </c>
      <c r="F355" s="398">
        <f t="shared" si="89"/>
        <v>9279.25</v>
      </c>
      <c r="G355" s="398">
        <v>9279.25</v>
      </c>
      <c r="H355" s="398">
        <v>9279.25</v>
      </c>
      <c r="I355" s="398">
        <v>9279.25</v>
      </c>
      <c r="J355" s="405">
        <f t="shared" si="90"/>
        <v>9674</v>
      </c>
      <c r="K355" s="405">
        <f t="shared" si="86"/>
        <v>9674</v>
      </c>
      <c r="L355" s="405">
        <f t="shared" si="86"/>
        <v>9674</v>
      </c>
      <c r="M355" s="405">
        <f t="shared" si="86"/>
        <v>9674</v>
      </c>
      <c r="N355" s="405">
        <f t="shared" si="86"/>
        <v>9674</v>
      </c>
      <c r="O355" s="405">
        <f t="shared" si="86"/>
        <v>9674</v>
      </c>
      <c r="P355" s="405">
        <f t="shared" si="86"/>
        <v>9674</v>
      </c>
      <c r="Q355" s="405">
        <f t="shared" si="86"/>
        <v>9674</v>
      </c>
      <c r="R355" s="406">
        <f t="shared" si="87"/>
        <v>114509</v>
      </c>
      <c r="S355" s="388">
        <f t="shared" si="88"/>
        <v>119089.36</v>
      </c>
      <c r="T355" s="388">
        <f t="shared" si="88"/>
        <v>123852.9344</v>
      </c>
      <c r="V355" s="398">
        <v>111351</v>
      </c>
    </row>
    <row r="356" spans="1:22" s="398" customFormat="1" x14ac:dyDescent="0.2">
      <c r="A356" s="403"/>
      <c r="B356" s="446"/>
      <c r="C356" s="398" t="s">
        <v>126</v>
      </c>
      <c r="D356" s="388">
        <v>0</v>
      </c>
      <c r="E356" s="388">
        <v>0</v>
      </c>
      <c r="F356" s="398">
        <f t="shared" si="89"/>
        <v>9279.25</v>
      </c>
      <c r="G356" s="398">
        <v>9279.25</v>
      </c>
      <c r="H356" s="398">
        <v>9279.25</v>
      </c>
      <c r="I356" s="398">
        <v>9279.25</v>
      </c>
      <c r="J356" s="405">
        <f t="shared" si="90"/>
        <v>9674</v>
      </c>
      <c r="K356" s="405">
        <f t="shared" si="86"/>
        <v>9674</v>
      </c>
      <c r="L356" s="405">
        <f t="shared" si="86"/>
        <v>9674</v>
      </c>
      <c r="M356" s="405">
        <f t="shared" si="86"/>
        <v>9674</v>
      </c>
      <c r="N356" s="405">
        <f t="shared" si="86"/>
        <v>9674</v>
      </c>
      <c r="O356" s="405">
        <f t="shared" si="86"/>
        <v>9674</v>
      </c>
      <c r="P356" s="405">
        <f t="shared" si="86"/>
        <v>9674</v>
      </c>
      <c r="Q356" s="405">
        <f t="shared" si="86"/>
        <v>9674</v>
      </c>
      <c r="R356" s="406">
        <f t="shared" si="87"/>
        <v>114509</v>
      </c>
      <c r="S356" s="388">
        <f t="shared" si="88"/>
        <v>119089.36</v>
      </c>
      <c r="T356" s="388">
        <f t="shared" si="88"/>
        <v>123852.9344</v>
      </c>
      <c r="V356" s="398">
        <v>111351</v>
      </c>
    </row>
    <row r="357" spans="1:22" s="398" customFormat="1" x14ac:dyDescent="0.2">
      <c r="A357" s="403"/>
      <c r="B357" s="446"/>
      <c r="C357" s="398" t="s">
        <v>127</v>
      </c>
      <c r="D357" s="388">
        <v>0</v>
      </c>
      <c r="E357" s="388">
        <v>0</v>
      </c>
      <c r="F357" s="398">
        <f t="shared" si="89"/>
        <v>9279.25</v>
      </c>
      <c r="G357" s="398">
        <v>9279.25</v>
      </c>
      <c r="H357" s="398">
        <v>9279.25</v>
      </c>
      <c r="I357" s="398">
        <v>9279.25</v>
      </c>
      <c r="J357" s="405">
        <f t="shared" si="90"/>
        <v>9674</v>
      </c>
      <c r="K357" s="407">
        <f t="shared" ref="K357:Q357" si="91">+J357</f>
        <v>9674</v>
      </c>
      <c r="L357" s="407">
        <f t="shared" si="91"/>
        <v>9674</v>
      </c>
      <c r="M357" s="407">
        <f t="shared" si="91"/>
        <v>9674</v>
      </c>
      <c r="N357" s="407">
        <f t="shared" si="91"/>
        <v>9674</v>
      </c>
      <c r="O357" s="407">
        <f t="shared" si="91"/>
        <v>9674</v>
      </c>
      <c r="P357" s="407">
        <f t="shared" si="91"/>
        <v>9674</v>
      </c>
      <c r="Q357" s="407">
        <f t="shared" si="91"/>
        <v>9674</v>
      </c>
      <c r="R357" s="406">
        <f>SUM(F357:Q357)</f>
        <v>114509</v>
      </c>
      <c r="S357" s="388">
        <f t="shared" si="88"/>
        <v>119089.36</v>
      </c>
      <c r="T357" s="388">
        <f t="shared" si="88"/>
        <v>123852.9344</v>
      </c>
      <c r="V357" s="398">
        <v>111351</v>
      </c>
    </row>
    <row r="358" spans="1:22" s="398" customFormat="1" x14ac:dyDescent="0.2">
      <c r="A358" s="403"/>
      <c r="B358" s="446"/>
      <c r="C358" s="398" t="s">
        <v>486</v>
      </c>
      <c r="D358" s="388">
        <v>0</v>
      </c>
      <c r="E358" s="388">
        <v>0</v>
      </c>
      <c r="F358" s="398">
        <f t="shared" si="89"/>
        <v>9279.25</v>
      </c>
      <c r="G358" s="398">
        <v>9279.25</v>
      </c>
      <c r="H358" s="398">
        <v>9279.25</v>
      </c>
      <c r="I358" s="398">
        <v>9279.25</v>
      </c>
      <c r="J358" s="405">
        <f t="shared" si="90"/>
        <v>9674</v>
      </c>
      <c r="K358" s="407">
        <f t="shared" ref="K358:Q358" si="92">+J358</f>
        <v>9674</v>
      </c>
      <c r="L358" s="407">
        <f t="shared" si="92"/>
        <v>9674</v>
      </c>
      <c r="M358" s="407">
        <f t="shared" si="92"/>
        <v>9674</v>
      </c>
      <c r="N358" s="407">
        <f t="shared" si="92"/>
        <v>9674</v>
      </c>
      <c r="O358" s="407">
        <f t="shared" si="92"/>
        <v>9674</v>
      </c>
      <c r="P358" s="407">
        <f t="shared" si="92"/>
        <v>9674</v>
      </c>
      <c r="Q358" s="407">
        <f t="shared" si="92"/>
        <v>9674</v>
      </c>
      <c r="R358" s="406">
        <f t="shared" ref="R358:R386" si="93">SUM(F358:Q358)</f>
        <v>114509</v>
      </c>
      <c r="S358" s="388">
        <f t="shared" si="88"/>
        <v>119089.36</v>
      </c>
      <c r="T358" s="388">
        <f t="shared" si="88"/>
        <v>123852.9344</v>
      </c>
      <c r="V358" s="398">
        <v>111351</v>
      </c>
    </row>
    <row r="359" spans="1:22" s="398" customFormat="1" x14ac:dyDescent="0.2">
      <c r="A359" s="403"/>
      <c r="B359" s="446"/>
      <c r="C359" s="398" t="s">
        <v>487</v>
      </c>
      <c r="D359" s="388">
        <v>0</v>
      </c>
      <c r="E359" s="388">
        <v>0</v>
      </c>
      <c r="F359" s="398">
        <f t="shared" si="89"/>
        <v>9279.25</v>
      </c>
      <c r="G359" s="398">
        <v>9279.25</v>
      </c>
      <c r="H359" s="398">
        <v>9279.25</v>
      </c>
      <c r="I359" s="398">
        <v>9279.25</v>
      </c>
      <c r="J359" s="405">
        <f t="shared" si="90"/>
        <v>9674</v>
      </c>
      <c r="K359" s="407">
        <f t="shared" ref="K359:Q359" si="94">+J359</f>
        <v>9674</v>
      </c>
      <c r="L359" s="407">
        <f t="shared" si="94"/>
        <v>9674</v>
      </c>
      <c r="M359" s="407">
        <f t="shared" si="94"/>
        <v>9674</v>
      </c>
      <c r="N359" s="407">
        <f t="shared" si="94"/>
        <v>9674</v>
      </c>
      <c r="O359" s="407">
        <f t="shared" si="94"/>
        <v>9674</v>
      </c>
      <c r="P359" s="407">
        <f t="shared" si="94"/>
        <v>9674</v>
      </c>
      <c r="Q359" s="407">
        <f t="shared" si="94"/>
        <v>9674</v>
      </c>
      <c r="R359" s="406">
        <f t="shared" si="93"/>
        <v>114509</v>
      </c>
      <c r="S359" s="388">
        <f t="shared" si="88"/>
        <v>119089.36</v>
      </c>
      <c r="T359" s="388">
        <f t="shared" si="88"/>
        <v>123852.9344</v>
      </c>
      <c r="V359" s="398">
        <v>111351</v>
      </c>
    </row>
    <row r="360" spans="1:22" s="398" customFormat="1" x14ac:dyDescent="0.2">
      <c r="A360" s="403"/>
      <c r="B360" s="446"/>
      <c r="C360" s="398" t="s">
        <v>488</v>
      </c>
      <c r="D360" s="388">
        <v>0</v>
      </c>
      <c r="E360" s="388">
        <v>0</v>
      </c>
      <c r="F360" s="398">
        <f t="shared" si="89"/>
        <v>9279.25</v>
      </c>
      <c r="G360" s="398">
        <v>9279.25</v>
      </c>
      <c r="H360" s="398">
        <v>9279.25</v>
      </c>
      <c r="I360" s="398">
        <v>9279.25</v>
      </c>
      <c r="J360" s="405">
        <f t="shared" si="90"/>
        <v>9674</v>
      </c>
      <c r="K360" s="407">
        <f t="shared" ref="K360:Q360" si="95">+J360</f>
        <v>9674</v>
      </c>
      <c r="L360" s="407">
        <f t="shared" si="95"/>
        <v>9674</v>
      </c>
      <c r="M360" s="407">
        <f t="shared" si="95"/>
        <v>9674</v>
      </c>
      <c r="N360" s="407">
        <f t="shared" si="95"/>
        <v>9674</v>
      </c>
      <c r="O360" s="407">
        <f t="shared" si="95"/>
        <v>9674</v>
      </c>
      <c r="P360" s="407">
        <f t="shared" si="95"/>
        <v>9674</v>
      </c>
      <c r="Q360" s="407">
        <f t="shared" si="95"/>
        <v>9674</v>
      </c>
      <c r="R360" s="406">
        <f t="shared" si="93"/>
        <v>114509</v>
      </c>
      <c r="S360" s="388">
        <f t="shared" si="88"/>
        <v>119089.36</v>
      </c>
      <c r="T360" s="388">
        <f t="shared" si="88"/>
        <v>123852.9344</v>
      </c>
      <c r="V360" s="398">
        <v>111351</v>
      </c>
    </row>
    <row r="361" spans="1:22" s="398" customFormat="1" x14ac:dyDescent="0.2">
      <c r="A361" s="403"/>
      <c r="B361" s="446"/>
      <c r="C361" s="398" t="s">
        <v>489</v>
      </c>
      <c r="D361" s="388">
        <v>0</v>
      </c>
      <c r="E361" s="388">
        <v>0</v>
      </c>
      <c r="F361" s="398">
        <f t="shared" si="89"/>
        <v>9279.25</v>
      </c>
      <c r="G361" s="398">
        <v>9279.25</v>
      </c>
      <c r="H361" s="398">
        <v>9279.25</v>
      </c>
      <c r="I361" s="398">
        <v>9279.25</v>
      </c>
      <c r="J361" s="405">
        <f t="shared" si="90"/>
        <v>9674</v>
      </c>
      <c r="K361" s="407">
        <f t="shared" ref="K361:Q361" si="96">+J361</f>
        <v>9674</v>
      </c>
      <c r="L361" s="407">
        <f t="shared" si="96"/>
        <v>9674</v>
      </c>
      <c r="M361" s="407">
        <f t="shared" si="96"/>
        <v>9674</v>
      </c>
      <c r="N361" s="407">
        <f t="shared" si="96"/>
        <v>9674</v>
      </c>
      <c r="O361" s="407">
        <f t="shared" si="96"/>
        <v>9674</v>
      </c>
      <c r="P361" s="407">
        <f t="shared" si="96"/>
        <v>9674</v>
      </c>
      <c r="Q361" s="407">
        <f t="shared" si="96"/>
        <v>9674</v>
      </c>
      <c r="R361" s="406">
        <f t="shared" si="93"/>
        <v>114509</v>
      </c>
      <c r="S361" s="388">
        <f t="shared" si="88"/>
        <v>119089.36</v>
      </c>
      <c r="T361" s="388">
        <f t="shared" si="88"/>
        <v>123852.9344</v>
      </c>
      <c r="V361" s="398">
        <v>111351</v>
      </c>
    </row>
    <row r="362" spans="1:22" s="398" customFormat="1" x14ac:dyDescent="0.2">
      <c r="A362" s="403"/>
      <c r="B362" s="446"/>
      <c r="C362" s="398" t="s">
        <v>490</v>
      </c>
      <c r="D362" s="388">
        <v>0</v>
      </c>
      <c r="E362" s="388">
        <v>0</v>
      </c>
      <c r="F362" s="398">
        <f t="shared" si="89"/>
        <v>3609.5</v>
      </c>
      <c r="G362" s="398">
        <v>3609.5</v>
      </c>
      <c r="H362" s="398">
        <v>3609.5</v>
      </c>
      <c r="I362" s="398">
        <v>3609.5</v>
      </c>
      <c r="J362" s="405">
        <f t="shared" si="90"/>
        <v>3763</v>
      </c>
      <c r="K362" s="407">
        <f t="shared" ref="K362:Q362" si="97">+J362</f>
        <v>3763</v>
      </c>
      <c r="L362" s="407">
        <f t="shared" si="97"/>
        <v>3763</v>
      </c>
      <c r="M362" s="407">
        <f t="shared" si="97"/>
        <v>3763</v>
      </c>
      <c r="N362" s="407">
        <f t="shared" si="97"/>
        <v>3763</v>
      </c>
      <c r="O362" s="407">
        <f t="shared" si="97"/>
        <v>3763</v>
      </c>
      <c r="P362" s="407">
        <f t="shared" si="97"/>
        <v>3763</v>
      </c>
      <c r="Q362" s="407">
        <f t="shared" si="97"/>
        <v>3763</v>
      </c>
      <c r="R362" s="406">
        <f t="shared" si="93"/>
        <v>44542</v>
      </c>
      <c r="S362" s="388">
        <f t="shared" si="88"/>
        <v>46323.68</v>
      </c>
      <c r="T362" s="388">
        <f t="shared" si="88"/>
        <v>48176.627200000003</v>
      </c>
      <c r="V362" s="398">
        <v>43314</v>
      </c>
    </row>
    <row r="363" spans="1:22" s="398" customFormat="1" x14ac:dyDescent="0.2">
      <c r="A363" s="403"/>
      <c r="B363" s="446"/>
      <c r="C363" s="398" t="s">
        <v>491</v>
      </c>
      <c r="D363" s="388">
        <v>0</v>
      </c>
      <c r="E363" s="388">
        <v>0</v>
      </c>
      <c r="F363" s="398">
        <f t="shared" si="89"/>
        <v>3609.5</v>
      </c>
      <c r="G363" s="398">
        <v>3609.5</v>
      </c>
      <c r="H363" s="398">
        <v>3609.5</v>
      </c>
      <c r="I363" s="398">
        <v>3609.5</v>
      </c>
      <c r="J363" s="405">
        <f t="shared" si="90"/>
        <v>3763</v>
      </c>
      <c r="K363" s="407">
        <f t="shared" ref="K363:Q363" si="98">+J363</f>
        <v>3763</v>
      </c>
      <c r="L363" s="407">
        <f t="shared" si="98"/>
        <v>3763</v>
      </c>
      <c r="M363" s="407">
        <f t="shared" si="98"/>
        <v>3763</v>
      </c>
      <c r="N363" s="407">
        <f t="shared" si="98"/>
        <v>3763</v>
      </c>
      <c r="O363" s="407">
        <f t="shared" si="98"/>
        <v>3763</v>
      </c>
      <c r="P363" s="407">
        <f t="shared" si="98"/>
        <v>3763</v>
      </c>
      <c r="Q363" s="407">
        <f t="shared" si="98"/>
        <v>3763</v>
      </c>
      <c r="R363" s="406">
        <f t="shared" si="93"/>
        <v>44542</v>
      </c>
      <c r="S363" s="388">
        <f t="shared" si="88"/>
        <v>46323.68</v>
      </c>
      <c r="T363" s="388">
        <f t="shared" si="88"/>
        <v>48176.627200000003</v>
      </c>
      <c r="V363" s="398">
        <v>43314</v>
      </c>
    </row>
    <row r="364" spans="1:22" s="398" customFormat="1" x14ac:dyDescent="0.2">
      <c r="A364" s="403"/>
      <c r="B364" s="446"/>
      <c r="C364" s="398" t="s">
        <v>492</v>
      </c>
      <c r="D364" s="388">
        <v>0</v>
      </c>
      <c r="E364" s="388">
        <v>0</v>
      </c>
      <c r="F364" s="398">
        <f t="shared" si="89"/>
        <v>3750</v>
      </c>
      <c r="G364" s="398">
        <v>3750</v>
      </c>
      <c r="H364" s="398">
        <v>3750</v>
      </c>
      <c r="I364" s="398">
        <v>3750</v>
      </c>
      <c r="J364" s="405">
        <f>ROUND(+I364*1.0425,0)</f>
        <v>3909</v>
      </c>
      <c r="K364" s="407">
        <f t="shared" ref="K364:Q364" si="99">+J364</f>
        <v>3909</v>
      </c>
      <c r="L364" s="407">
        <f t="shared" si="99"/>
        <v>3909</v>
      </c>
      <c r="M364" s="407">
        <f t="shared" si="99"/>
        <v>3909</v>
      </c>
      <c r="N364" s="407">
        <f t="shared" si="99"/>
        <v>3909</v>
      </c>
      <c r="O364" s="407">
        <f t="shared" si="99"/>
        <v>3909</v>
      </c>
      <c r="P364" s="407">
        <f t="shared" si="99"/>
        <v>3909</v>
      </c>
      <c r="Q364" s="407">
        <f t="shared" si="99"/>
        <v>3909</v>
      </c>
      <c r="R364" s="406">
        <f t="shared" si="93"/>
        <v>46272</v>
      </c>
      <c r="S364" s="388">
        <f t="shared" si="88"/>
        <v>48122.880000000005</v>
      </c>
      <c r="T364" s="388">
        <f t="shared" si="88"/>
        <v>50047.795200000008</v>
      </c>
      <c r="V364" s="398">
        <v>45000</v>
      </c>
    </row>
    <row r="365" spans="1:22" s="398" customFormat="1" x14ac:dyDescent="0.2">
      <c r="A365" s="403"/>
      <c r="B365" s="446"/>
      <c r="C365" s="398" t="s">
        <v>493</v>
      </c>
      <c r="D365" s="388">
        <v>0</v>
      </c>
      <c r="E365" s="388">
        <v>0</v>
      </c>
      <c r="F365" s="398">
        <f t="shared" si="89"/>
        <v>3750</v>
      </c>
      <c r="G365" s="398">
        <v>3750</v>
      </c>
      <c r="H365" s="398">
        <v>3750</v>
      </c>
      <c r="I365" s="398">
        <v>3750</v>
      </c>
      <c r="J365" s="405">
        <f t="shared" si="90"/>
        <v>3909</v>
      </c>
      <c r="K365" s="407">
        <f t="shared" ref="K365:Q365" si="100">+J365</f>
        <v>3909</v>
      </c>
      <c r="L365" s="407">
        <f t="shared" si="100"/>
        <v>3909</v>
      </c>
      <c r="M365" s="407">
        <f t="shared" si="100"/>
        <v>3909</v>
      </c>
      <c r="N365" s="407">
        <f t="shared" si="100"/>
        <v>3909</v>
      </c>
      <c r="O365" s="407">
        <f t="shared" si="100"/>
        <v>3909</v>
      </c>
      <c r="P365" s="407">
        <f t="shared" si="100"/>
        <v>3909</v>
      </c>
      <c r="Q365" s="407">
        <f t="shared" si="100"/>
        <v>3909</v>
      </c>
      <c r="R365" s="406">
        <f t="shared" si="93"/>
        <v>46272</v>
      </c>
      <c r="S365" s="388">
        <f t="shared" si="88"/>
        <v>48122.880000000005</v>
      </c>
      <c r="T365" s="388">
        <f t="shared" si="88"/>
        <v>50047.795200000008</v>
      </c>
      <c r="V365" s="398">
        <v>45000</v>
      </c>
    </row>
    <row r="366" spans="1:22" s="398" customFormat="1" x14ac:dyDescent="0.2">
      <c r="A366" s="403"/>
      <c r="B366" s="446"/>
      <c r="C366" s="398" t="s">
        <v>494</v>
      </c>
      <c r="D366" s="388">
        <v>0</v>
      </c>
      <c r="E366" s="388">
        <v>0</v>
      </c>
      <c r="F366" s="398">
        <f t="shared" si="89"/>
        <v>1653.1666666666667</v>
      </c>
      <c r="G366" s="398">
        <v>1653.1666666666667</v>
      </c>
      <c r="H366" s="398">
        <v>1653.1666666666667</v>
      </c>
      <c r="I366" s="398">
        <v>1653.1666666666667</v>
      </c>
      <c r="J366" s="405">
        <f t="shared" si="90"/>
        <v>1723</v>
      </c>
      <c r="K366" s="407">
        <f t="shared" ref="K366:Q366" si="101">+J366</f>
        <v>1723</v>
      </c>
      <c r="L366" s="407">
        <f t="shared" si="101"/>
        <v>1723</v>
      </c>
      <c r="M366" s="407">
        <f t="shared" si="101"/>
        <v>1723</v>
      </c>
      <c r="N366" s="407">
        <f t="shared" si="101"/>
        <v>1723</v>
      </c>
      <c r="O366" s="407">
        <f t="shared" si="101"/>
        <v>1723</v>
      </c>
      <c r="P366" s="407">
        <f t="shared" si="101"/>
        <v>1723</v>
      </c>
      <c r="Q366" s="407">
        <f t="shared" si="101"/>
        <v>1723</v>
      </c>
      <c r="R366" s="406">
        <f t="shared" si="93"/>
        <v>20396.666666666668</v>
      </c>
      <c r="S366" s="388">
        <f t="shared" si="88"/>
        <v>21212.533333333336</v>
      </c>
      <c r="T366" s="388">
        <f t="shared" si="88"/>
        <v>22061.03466666667</v>
      </c>
      <c r="V366" s="398">
        <v>19838</v>
      </c>
    </row>
    <row r="367" spans="1:22" s="398" customFormat="1" x14ac:dyDescent="0.2">
      <c r="A367" s="403"/>
      <c r="B367" s="446"/>
      <c r="C367" s="398" t="s">
        <v>495</v>
      </c>
      <c r="D367" s="388">
        <v>0</v>
      </c>
      <c r="E367" s="388">
        <v>0</v>
      </c>
      <c r="F367" s="398">
        <f t="shared" si="89"/>
        <v>1653.1666666666667</v>
      </c>
      <c r="G367" s="398">
        <v>1653.1666666666667</v>
      </c>
      <c r="H367" s="398">
        <v>1653.1666666666667</v>
      </c>
      <c r="I367" s="398">
        <v>1653.1666666666667</v>
      </c>
      <c r="J367" s="405">
        <f t="shared" si="90"/>
        <v>1723</v>
      </c>
      <c r="K367" s="407">
        <f t="shared" ref="K367:Q367" si="102">+J367</f>
        <v>1723</v>
      </c>
      <c r="L367" s="407">
        <f t="shared" si="102"/>
        <v>1723</v>
      </c>
      <c r="M367" s="407">
        <f t="shared" si="102"/>
        <v>1723</v>
      </c>
      <c r="N367" s="407">
        <f t="shared" si="102"/>
        <v>1723</v>
      </c>
      <c r="O367" s="407">
        <f t="shared" si="102"/>
        <v>1723</v>
      </c>
      <c r="P367" s="407">
        <f t="shared" si="102"/>
        <v>1723</v>
      </c>
      <c r="Q367" s="407">
        <f t="shared" si="102"/>
        <v>1723</v>
      </c>
      <c r="R367" s="406">
        <f t="shared" si="93"/>
        <v>20396.666666666668</v>
      </c>
      <c r="S367" s="388">
        <f t="shared" si="88"/>
        <v>21212.533333333336</v>
      </c>
      <c r="T367" s="388">
        <f t="shared" si="88"/>
        <v>22061.03466666667</v>
      </c>
      <c r="V367" s="398">
        <v>19838</v>
      </c>
    </row>
    <row r="368" spans="1:22" s="398" customFormat="1" x14ac:dyDescent="0.2">
      <c r="A368" s="403"/>
      <c r="B368" s="446"/>
      <c r="C368" s="398" t="s">
        <v>496</v>
      </c>
      <c r="D368" s="388">
        <v>0</v>
      </c>
      <c r="E368" s="388">
        <v>0</v>
      </c>
      <c r="F368" s="398">
        <f t="shared" si="89"/>
        <v>16667</v>
      </c>
      <c r="G368" s="398">
        <v>16667</v>
      </c>
      <c r="H368" s="398">
        <v>16667</v>
      </c>
      <c r="I368" s="398">
        <v>16667</v>
      </c>
      <c r="J368" s="405">
        <f t="shared" si="90"/>
        <v>17375</v>
      </c>
      <c r="K368" s="407">
        <f t="shared" ref="K368:Q368" si="103">+J368</f>
        <v>17375</v>
      </c>
      <c r="L368" s="407">
        <f t="shared" si="103"/>
        <v>17375</v>
      </c>
      <c r="M368" s="407">
        <f t="shared" si="103"/>
        <v>17375</v>
      </c>
      <c r="N368" s="407">
        <f t="shared" si="103"/>
        <v>17375</v>
      </c>
      <c r="O368" s="407">
        <f t="shared" si="103"/>
        <v>17375</v>
      </c>
      <c r="P368" s="407">
        <f t="shared" si="103"/>
        <v>17375</v>
      </c>
      <c r="Q368" s="407">
        <f t="shared" si="103"/>
        <v>17375</v>
      </c>
      <c r="R368" s="406">
        <f t="shared" si="93"/>
        <v>205668</v>
      </c>
      <c r="S368" s="388">
        <f t="shared" ref="S368:T386" si="104">R368*1.04</f>
        <v>213894.72</v>
      </c>
      <c r="T368" s="388">
        <f t="shared" si="104"/>
        <v>222450.50880000001</v>
      </c>
      <c r="V368" s="398">
        <v>200004</v>
      </c>
    </row>
    <row r="369" spans="1:22" s="398" customFormat="1" x14ac:dyDescent="0.2">
      <c r="A369" s="403"/>
      <c r="B369" s="446"/>
      <c r="C369" s="398" t="s">
        <v>497</v>
      </c>
      <c r="D369" s="388">
        <v>0</v>
      </c>
      <c r="E369" s="388">
        <v>0</v>
      </c>
      <c r="F369" s="398">
        <f t="shared" si="89"/>
        <v>11685</v>
      </c>
      <c r="G369" s="398">
        <v>11685</v>
      </c>
      <c r="H369" s="398">
        <v>11685</v>
      </c>
      <c r="I369" s="398">
        <v>11685</v>
      </c>
      <c r="J369" s="405">
        <f t="shared" si="90"/>
        <v>12182</v>
      </c>
      <c r="K369" s="407">
        <f t="shared" ref="K369:Q369" si="105">+J369</f>
        <v>12182</v>
      </c>
      <c r="L369" s="407">
        <f t="shared" si="105"/>
        <v>12182</v>
      </c>
      <c r="M369" s="407">
        <f t="shared" si="105"/>
        <v>12182</v>
      </c>
      <c r="N369" s="407">
        <f t="shared" si="105"/>
        <v>12182</v>
      </c>
      <c r="O369" s="407">
        <f t="shared" si="105"/>
        <v>12182</v>
      </c>
      <c r="P369" s="407">
        <f t="shared" si="105"/>
        <v>12182</v>
      </c>
      <c r="Q369" s="407">
        <f t="shared" si="105"/>
        <v>12182</v>
      </c>
      <c r="R369" s="406">
        <f t="shared" si="93"/>
        <v>144196</v>
      </c>
      <c r="S369" s="388">
        <f t="shared" si="104"/>
        <v>149963.84</v>
      </c>
      <c r="T369" s="388">
        <f t="shared" si="104"/>
        <v>155962.39360000001</v>
      </c>
      <c r="V369" s="398">
        <v>140220</v>
      </c>
    </row>
    <row r="370" spans="1:22" s="398" customFormat="1" x14ac:dyDescent="0.2">
      <c r="A370" s="403"/>
      <c r="B370" s="446"/>
      <c r="C370" s="398" t="s">
        <v>498</v>
      </c>
      <c r="D370" s="388">
        <v>0</v>
      </c>
      <c r="E370" s="388">
        <v>0</v>
      </c>
      <c r="F370" s="398">
        <f t="shared" si="89"/>
        <v>11685</v>
      </c>
      <c r="G370" s="398">
        <v>11685</v>
      </c>
      <c r="H370" s="398">
        <v>11685</v>
      </c>
      <c r="I370" s="398">
        <v>11685</v>
      </c>
      <c r="J370" s="405">
        <f>ROUND(+I370*1.0425,0)</f>
        <v>12182</v>
      </c>
      <c r="K370" s="407">
        <f t="shared" ref="K370:Q370" si="106">+J370</f>
        <v>12182</v>
      </c>
      <c r="L370" s="407">
        <f t="shared" si="106"/>
        <v>12182</v>
      </c>
      <c r="M370" s="407">
        <f t="shared" si="106"/>
        <v>12182</v>
      </c>
      <c r="N370" s="407">
        <f t="shared" si="106"/>
        <v>12182</v>
      </c>
      <c r="O370" s="407">
        <f t="shared" si="106"/>
        <v>12182</v>
      </c>
      <c r="P370" s="407">
        <f t="shared" si="106"/>
        <v>12182</v>
      </c>
      <c r="Q370" s="407">
        <f t="shared" si="106"/>
        <v>12182</v>
      </c>
      <c r="R370" s="406">
        <f>SUM(F370:Q370)</f>
        <v>144196</v>
      </c>
      <c r="S370" s="388">
        <f t="shared" si="104"/>
        <v>149963.84</v>
      </c>
      <c r="T370" s="388">
        <f t="shared" si="104"/>
        <v>155962.39360000001</v>
      </c>
      <c r="V370" s="398">
        <v>140220</v>
      </c>
    </row>
    <row r="371" spans="1:22" s="398" customFormat="1" x14ac:dyDescent="0.2">
      <c r="A371" s="403"/>
      <c r="B371" s="446"/>
      <c r="C371" s="398" t="s">
        <v>499</v>
      </c>
      <c r="D371" s="388">
        <v>0</v>
      </c>
      <c r="E371" s="388">
        <v>0</v>
      </c>
      <c r="F371" s="398">
        <f t="shared" si="89"/>
        <v>9279.25</v>
      </c>
      <c r="G371" s="398">
        <v>9279.25</v>
      </c>
      <c r="H371" s="398">
        <v>9279.25</v>
      </c>
      <c r="I371" s="398">
        <v>9279.25</v>
      </c>
      <c r="J371" s="405">
        <f t="shared" si="90"/>
        <v>9674</v>
      </c>
      <c r="K371" s="407">
        <f t="shared" ref="K371:Q371" si="107">+J371</f>
        <v>9674</v>
      </c>
      <c r="L371" s="407">
        <f t="shared" si="107"/>
        <v>9674</v>
      </c>
      <c r="M371" s="407">
        <f t="shared" si="107"/>
        <v>9674</v>
      </c>
      <c r="N371" s="407">
        <f t="shared" si="107"/>
        <v>9674</v>
      </c>
      <c r="O371" s="407">
        <f t="shared" si="107"/>
        <v>9674</v>
      </c>
      <c r="P371" s="407">
        <f t="shared" si="107"/>
        <v>9674</v>
      </c>
      <c r="Q371" s="407">
        <f t="shared" si="107"/>
        <v>9674</v>
      </c>
      <c r="R371" s="406">
        <f t="shared" si="93"/>
        <v>114509</v>
      </c>
      <c r="S371" s="388">
        <f t="shared" si="104"/>
        <v>119089.36</v>
      </c>
      <c r="T371" s="388">
        <f t="shared" si="104"/>
        <v>123852.9344</v>
      </c>
      <c r="V371" s="398">
        <v>111351</v>
      </c>
    </row>
    <row r="372" spans="1:22" s="398" customFormat="1" x14ac:dyDescent="0.2">
      <c r="A372" s="403"/>
      <c r="B372" s="446"/>
      <c r="C372" s="398" t="s">
        <v>500</v>
      </c>
      <c r="D372" s="388">
        <v>0</v>
      </c>
      <c r="E372" s="388">
        <v>0</v>
      </c>
      <c r="F372" s="398">
        <f t="shared" si="89"/>
        <v>9279.25</v>
      </c>
      <c r="G372" s="398">
        <v>9279.25</v>
      </c>
      <c r="H372" s="398">
        <v>9279.25</v>
      </c>
      <c r="I372" s="398">
        <v>9279.25</v>
      </c>
      <c r="J372" s="405">
        <f t="shared" si="90"/>
        <v>9674</v>
      </c>
      <c r="K372" s="407">
        <f t="shared" ref="K372:Q372" si="108">+J372</f>
        <v>9674</v>
      </c>
      <c r="L372" s="407">
        <f t="shared" si="108"/>
        <v>9674</v>
      </c>
      <c r="M372" s="407">
        <f t="shared" si="108"/>
        <v>9674</v>
      </c>
      <c r="N372" s="407">
        <f t="shared" si="108"/>
        <v>9674</v>
      </c>
      <c r="O372" s="407">
        <f t="shared" si="108"/>
        <v>9674</v>
      </c>
      <c r="P372" s="407">
        <f t="shared" si="108"/>
        <v>9674</v>
      </c>
      <c r="Q372" s="407">
        <f t="shared" si="108"/>
        <v>9674</v>
      </c>
      <c r="R372" s="406">
        <f t="shared" si="93"/>
        <v>114509</v>
      </c>
      <c r="S372" s="388">
        <f t="shared" si="104"/>
        <v>119089.36</v>
      </c>
      <c r="T372" s="388">
        <f t="shared" si="104"/>
        <v>123852.9344</v>
      </c>
      <c r="V372" s="398">
        <v>111351</v>
      </c>
    </row>
    <row r="373" spans="1:22" s="398" customFormat="1" x14ac:dyDescent="0.2">
      <c r="A373" s="403"/>
      <c r="B373" s="446"/>
      <c r="C373" s="398" t="s">
        <v>501</v>
      </c>
      <c r="D373" s="388">
        <v>0</v>
      </c>
      <c r="E373" s="388">
        <v>0</v>
      </c>
      <c r="F373" s="398">
        <f t="shared" si="89"/>
        <v>9279.25</v>
      </c>
      <c r="G373" s="398">
        <v>9279.25</v>
      </c>
      <c r="H373" s="398">
        <v>9279.25</v>
      </c>
      <c r="I373" s="398">
        <v>9279.25</v>
      </c>
      <c r="J373" s="405">
        <f t="shared" si="90"/>
        <v>9674</v>
      </c>
      <c r="K373" s="407">
        <f t="shared" ref="K373:Q373" si="109">+J373</f>
        <v>9674</v>
      </c>
      <c r="L373" s="407">
        <f t="shared" si="109"/>
        <v>9674</v>
      </c>
      <c r="M373" s="407">
        <f t="shared" si="109"/>
        <v>9674</v>
      </c>
      <c r="N373" s="407">
        <f t="shared" si="109"/>
        <v>9674</v>
      </c>
      <c r="O373" s="407">
        <f t="shared" si="109"/>
        <v>9674</v>
      </c>
      <c r="P373" s="407">
        <f t="shared" si="109"/>
        <v>9674</v>
      </c>
      <c r="Q373" s="407">
        <f t="shared" si="109"/>
        <v>9674</v>
      </c>
      <c r="R373" s="406">
        <f t="shared" si="93"/>
        <v>114509</v>
      </c>
      <c r="S373" s="388">
        <f t="shared" si="104"/>
        <v>119089.36</v>
      </c>
      <c r="T373" s="388">
        <f t="shared" si="104"/>
        <v>123852.9344</v>
      </c>
      <c r="V373" s="398">
        <v>111351</v>
      </c>
    </row>
    <row r="374" spans="1:22" s="398" customFormat="1" x14ac:dyDescent="0.2">
      <c r="A374" s="403"/>
      <c r="B374" s="446"/>
      <c r="C374" s="398" t="s">
        <v>502</v>
      </c>
      <c r="D374" s="388">
        <v>0</v>
      </c>
      <c r="E374" s="388">
        <v>0</v>
      </c>
      <c r="F374" s="398">
        <f t="shared" si="89"/>
        <v>9279.25</v>
      </c>
      <c r="G374" s="398">
        <v>9279.25</v>
      </c>
      <c r="H374" s="398">
        <v>9279.25</v>
      </c>
      <c r="I374" s="398">
        <v>9279.25</v>
      </c>
      <c r="J374" s="405">
        <f t="shared" si="90"/>
        <v>9674</v>
      </c>
      <c r="K374" s="407">
        <f t="shared" ref="K374:Q374" si="110">+J374</f>
        <v>9674</v>
      </c>
      <c r="L374" s="407">
        <f t="shared" si="110"/>
        <v>9674</v>
      </c>
      <c r="M374" s="407">
        <f t="shared" si="110"/>
        <v>9674</v>
      </c>
      <c r="N374" s="407">
        <f t="shared" si="110"/>
        <v>9674</v>
      </c>
      <c r="O374" s="407">
        <f t="shared" si="110"/>
        <v>9674</v>
      </c>
      <c r="P374" s="407">
        <f t="shared" si="110"/>
        <v>9674</v>
      </c>
      <c r="Q374" s="407">
        <f t="shared" si="110"/>
        <v>9674</v>
      </c>
      <c r="R374" s="406">
        <f t="shared" si="93"/>
        <v>114509</v>
      </c>
      <c r="S374" s="388">
        <f t="shared" si="104"/>
        <v>119089.36</v>
      </c>
      <c r="T374" s="388">
        <f t="shared" si="104"/>
        <v>123852.9344</v>
      </c>
      <c r="V374" s="398">
        <v>111351</v>
      </c>
    </row>
    <row r="375" spans="1:22" s="398" customFormat="1" x14ac:dyDescent="0.2">
      <c r="A375" s="403"/>
      <c r="B375" s="446"/>
      <c r="C375" s="398" t="s">
        <v>503</v>
      </c>
      <c r="D375" s="388">
        <v>0</v>
      </c>
      <c r="E375" s="388">
        <v>0</v>
      </c>
      <c r="F375" s="398">
        <f t="shared" si="89"/>
        <v>9279.25</v>
      </c>
      <c r="G375" s="398">
        <v>9279.25</v>
      </c>
      <c r="H375" s="398">
        <v>9279.25</v>
      </c>
      <c r="I375" s="398">
        <v>9279.25</v>
      </c>
      <c r="J375" s="405">
        <f t="shared" si="90"/>
        <v>9674</v>
      </c>
      <c r="K375" s="407">
        <f t="shared" ref="K375:Q375" si="111">+J375</f>
        <v>9674</v>
      </c>
      <c r="L375" s="407">
        <f t="shared" si="111"/>
        <v>9674</v>
      </c>
      <c r="M375" s="407">
        <f t="shared" si="111"/>
        <v>9674</v>
      </c>
      <c r="N375" s="407">
        <f t="shared" si="111"/>
        <v>9674</v>
      </c>
      <c r="O375" s="407">
        <f t="shared" si="111"/>
        <v>9674</v>
      </c>
      <c r="P375" s="407">
        <f t="shared" si="111"/>
        <v>9674</v>
      </c>
      <c r="Q375" s="407">
        <f t="shared" si="111"/>
        <v>9674</v>
      </c>
      <c r="R375" s="406">
        <f t="shared" si="93"/>
        <v>114509</v>
      </c>
      <c r="S375" s="388">
        <f t="shared" si="104"/>
        <v>119089.36</v>
      </c>
      <c r="T375" s="388">
        <f t="shared" si="104"/>
        <v>123852.9344</v>
      </c>
      <c r="V375" s="398">
        <v>111351</v>
      </c>
    </row>
    <row r="376" spans="1:22" s="398" customFormat="1" x14ac:dyDescent="0.2">
      <c r="A376" s="403"/>
      <c r="B376" s="446"/>
      <c r="C376" s="398" t="s">
        <v>504</v>
      </c>
      <c r="D376" s="388">
        <v>0</v>
      </c>
      <c r="E376" s="388">
        <v>0</v>
      </c>
      <c r="F376" s="398">
        <f t="shared" si="89"/>
        <v>9279.25</v>
      </c>
      <c r="G376" s="398">
        <v>9279.25</v>
      </c>
      <c r="H376" s="398">
        <v>9279.25</v>
      </c>
      <c r="I376" s="398">
        <v>9279.25</v>
      </c>
      <c r="J376" s="405">
        <f t="shared" si="90"/>
        <v>9674</v>
      </c>
      <c r="K376" s="407">
        <f t="shared" ref="K376:Q376" si="112">+J376</f>
        <v>9674</v>
      </c>
      <c r="L376" s="407">
        <f t="shared" si="112"/>
        <v>9674</v>
      </c>
      <c r="M376" s="407">
        <f t="shared" si="112"/>
        <v>9674</v>
      </c>
      <c r="N376" s="407">
        <f t="shared" si="112"/>
        <v>9674</v>
      </c>
      <c r="O376" s="407">
        <f t="shared" si="112"/>
        <v>9674</v>
      </c>
      <c r="P376" s="407">
        <f t="shared" si="112"/>
        <v>9674</v>
      </c>
      <c r="Q376" s="407">
        <f t="shared" si="112"/>
        <v>9674</v>
      </c>
      <c r="R376" s="406">
        <f t="shared" si="93"/>
        <v>114509</v>
      </c>
      <c r="S376" s="388">
        <f t="shared" si="104"/>
        <v>119089.36</v>
      </c>
      <c r="T376" s="388">
        <f t="shared" si="104"/>
        <v>123852.9344</v>
      </c>
      <c r="V376" s="398">
        <v>111351</v>
      </c>
    </row>
    <row r="377" spans="1:22" s="398" customFormat="1" x14ac:dyDescent="0.2">
      <c r="A377" s="403"/>
      <c r="B377" s="446"/>
      <c r="C377" s="398" t="s">
        <v>505</v>
      </c>
      <c r="D377" s="388">
        <v>0</v>
      </c>
      <c r="E377" s="388">
        <v>0</v>
      </c>
      <c r="F377" s="398">
        <f t="shared" si="89"/>
        <v>9279.25</v>
      </c>
      <c r="G377" s="398">
        <v>9279.25</v>
      </c>
      <c r="H377" s="398">
        <v>9279.25</v>
      </c>
      <c r="I377" s="398">
        <v>9279.25</v>
      </c>
      <c r="J377" s="405">
        <f t="shared" si="90"/>
        <v>9674</v>
      </c>
      <c r="K377" s="407">
        <f t="shared" ref="K377:Q377" si="113">+J377</f>
        <v>9674</v>
      </c>
      <c r="L377" s="407">
        <f t="shared" si="113"/>
        <v>9674</v>
      </c>
      <c r="M377" s="407">
        <f t="shared" si="113"/>
        <v>9674</v>
      </c>
      <c r="N377" s="407">
        <f t="shared" si="113"/>
        <v>9674</v>
      </c>
      <c r="O377" s="407">
        <f t="shared" si="113"/>
        <v>9674</v>
      </c>
      <c r="P377" s="407">
        <f t="shared" si="113"/>
        <v>9674</v>
      </c>
      <c r="Q377" s="407">
        <f t="shared" si="113"/>
        <v>9674</v>
      </c>
      <c r="R377" s="406">
        <f t="shared" si="93"/>
        <v>114509</v>
      </c>
      <c r="S377" s="388">
        <f t="shared" si="104"/>
        <v>119089.36</v>
      </c>
      <c r="T377" s="388">
        <f t="shared" si="104"/>
        <v>123852.9344</v>
      </c>
      <c r="V377" s="398">
        <v>111351</v>
      </c>
    </row>
    <row r="378" spans="1:22" s="398" customFormat="1" x14ac:dyDescent="0.2">
      <c r="A378" s="403"/>
      <c r="B378" s="446"/>
      <c r="C378" s="398" t="s">
        <v>506</v>
      </c>
      <c r="D378" s="388">
        <v>0</v>
      </c>
      <c r="E378" s="388">
        <v>0</v>
      </c>
      <c r="F378" s="398">
        <f t="shared" si="89"/>
        <v>9279.25</v>
      </c>
      <c r="G378" s="398">
        <v>9279.25</v>
      </c>
      <c r="H378" s="398">
        <v>9279.25</v>
      </c>
      <c r="I378" s="398">
        <v>9279.25</v>
      </c>
      <c r="J378" s="405">
        <f t="shared" si="90"/>
        <v>9674</v>
      </c>
      <c r="K378" s="407">
        <f t="shared" ref="K378:Q378" si="114">+J378</f>
        <v>9674</v>
      </c>
      <c r="L378" s="407">
        <f t="shared" si="114"/>
        <v>9674</v>
      </c>
      <c r="M378" s="407">
        <f t="shared" si="114"/>
        <v>9674</v>
      </c>
      <c r="N378" s="407">
        <f t="shared" si="114"/>
        <v>9674</v>
      </c>
      <c r="O378" s="407">
        <f t="shared" si="114"/>
        <v>9674</v>
      </c>
      <c r="P378" s="407">
        <f t="shared" si="114"/>
        <v>9674</v>
      </c>
      <c r="Q378" s="407">
        <f t="shared" si="114"/>
        <v>9674</v>
      </c>
      <c r="R378" s="406">
        <f t="shared" si="93"/>
        <v>114509</v>
      </c>
      <c r="S378" s="388">
        <f t="shared" si="104"/>
        <v>119089.36</v>
      </c>
      <c r="T378" s="388">
        <f t="shared" si="104"/>
        <v>123852.9344</v>
      </c>
      <c r="V378" s="398">
        <v>111351</v>
      </c>
    </row>
    <row r="379" spans="1:22" s="398" customFormat="1" x14ac:dyDescent="0.2">
      <c r="A379" s="403"/>
      <c r="B379" s="446"/>
      <c r="C379" s="398" t="s">
        <v>507</v>
      </c>
      <c r="D379" s="388">
        <v>0</v>
      </c>
      <c r="E379" s="388">
        <v>0</v>
      </c>
      <c r="F379" s="398">
        <f t="shared" si="89"/>
        <v>9279.25</v>
      </c>
      <c r="G379" s="398">
        <v>9279.25</v>
      </c>
      <c r="H379" s="398">
        <v>9279.25</v>
      </c>
      <c r="I379" s="398">
        <v>9279.25</v>
      </c>
      <c r="J379" s="405">
        <f t="shared" si="90"/>
        <v>9674</v>
      </c>
      <c r="K379" s="407">
        <f t="shared" ref="K379:Q379" si="115">+J379</f>
        <v>9674</v>
      </c>
      <c r="L379" s="407">
        <f t="shared" si="115"/>
        <v>9674</v>
      </c>
      <c r="M379" s="407">
        <f t="shared" si="115"/>
        <v>9674</v>
      </c>
      <c r="N379" s="407">
        <f t="shared" si="115"/>
        <v>9674</v>
      </c>
      <c r="O379" s="407">
        <f t="shared" si="115"/>
        <v>9674</v>
      </c>
      <c r="P379" s="407">
        <f t="shared" si="115"/>
        <v>9674</v>
      </c>
      <c r="Q379" s="407">
        <f t="shared" si="115"/>
        <v>9674</v>
      </c>
      <c r="R379" s="406">
        <f t="shared" si="93"/>
        <v>114509</v>
      </c>
      <c r="S379" s="388">
        <f t="shared" si="104"/>
        <v>119089.36</v>
      </c>
      <c r="T379" s="388">
        <f t="shared" si="104"/>
        <v>123852.9344</v>
      </c>
      <c r="V379" s="398">
        <v>111351</v>
      </c>
    </row>
    <row r="380" spans="1:22" s="398" customFormat="1" x14ac:dyDescent="0.2">
      <c r="A380" s="403"/>
      <c r="B380" s="446"/>
      <c r="C380" s="398" t="s">
        <v>508</v>
      </c>
      <c r="D380" s="388">
        <v>0</v>
      </c>
      <c r="E380" s="388">
        <v>0</v>
      </c>
      <c r="F380" s="398">
        <f t="shared" si="89"/>
        <v>9279.25</v>
      </c>
      <c r="G380" s="398">
        <v>9279.25</v>
      </c>
      <c r="H380" s="398">
        <v>9279.25</v>
      </c>
      <c r="I380" s="398">
        <v>9279.25</v>
      </c>
      <c r="J380" s="405">
        <f t="shared" si="90"/>
        <v>9674</v>
      </c>
      <c r="K380" s="407">
        <f t="shared" ref="K380:Q380" si="116">+J380</f>
        <v>9674</v>
      </c>
      <c r="L380" s="407">
        <f t="shared" si="116"/>
        <v>9674</v>
      </c>
      <c r="M380" s="407">
        <f t="shared" si="116"/>
        <v>9674</v>
      </c>
      <c r="N380" s="407">
        <f t="shared" si="116"/>
        <v>9674</v>
      </c>
      <c r="O380" s="407">
        <f t="shared" si="116"/>
        <v>9674</v>
      </c>
      <c r="P380" s="407">
        <f t="shared" si="116"/>
        <v>9674</v>
      </c>
      <c r="Q380" s="407">
        <f t="shared" si="116"/>
        <v>9674</v>
      </c>
      <c r="R380" s="406">
        <f t="shared" si="93"/>
        <v>114509</v>
      </c>
      <c r="S380" s="388">
        <f t="shared" si="104"/>
        <v>119089.36</v>
      </c>
      <c r="T380" s="388">
        <f t="shared" si="104"/>
        <v>123852.9344</v>
      </c>
      <c r="V380" s="398">
        <v>111351</v>
      </c>
    </row>
    <row r="381" spans="1:22" s="398" customFormat="1" x14ac:dyDescent="0.2">
      <c r="A381" s="403"/>
      <c r="B381" s="446"/>
      <c r="C381" s="398" t="s">
        <v>509</v>
      </c>
      <c r="D381" s="388">
        <v>0</v>
      </c>
      <c r="E381" s="388">
        <v>0</v>
      </c>
      <c r="F381" s="398">
        <f t="shared" si="89"/>
        <v>5833.333333333333</v>
      </c>
      <c r="G381" s="398">
        <v>5833.333333333333</v>
      </c>
      <c r="H381" s="398">
        <v>5833.333333333333</v>
      </c>
      <c r="I381" s="398">
        <v>5833.333333333333</v>
      </c>
      <c r="J381" s="405">
        <f t="shared" si="90"/>
        <v>6081</v>
      </c>
      <c r="K381" s="407">
        <f t="shared" ref="K381:Q381" si="117">+J381</f>
        <v>6081</v>
      </c>
      <c r="L381" s="407">
        <f t="shared" si="117"/>
        <v>6081</v>
      </c>
      <c r="M381" s="407">
        <f t="shared" si="117"/>
        <v>6081</v>
      </c>
      <c r="N381" s="407">
        <f t="shared" si="117"/>
        <v>6081</v>
      </c>
      <c r="O381" s="407">
        <f t="shared" si="117"/>
        <v>6081</v>
      </c>
      <c r="P381" s="407">
        <f t="shared" si="117"/>
        <v>6081</v>
      </c>
      <c r="Q381" s="407">
        <f t="shared" si="117"/>
        <v>6081</v>
      </c>
      <c r="R381" s="406">
        <f t="shared" si="93"/>
        <v>71981.333333333328</v>
      </c>
      <c r="S381" s="388">
        <f t="shared" si="104"/>
        <v>74860.58666666667</v>
      </c>
      <c r="T381" s="388">
        <f t="shared" si="104"/>
        <v>77855.010133333344</v>
      </c>
      <c r="V381" s="398">
        <v>70000</v>
      </c>
    </row>
    <row r="382" spans="1:22" s="398" customFormat="1" x14ac:dyDescent="0.2">
      <c r="A382" s="403"/>
      <c r="B382" s="446"/>
      <c r="C382" s="398" t="s">
        <v>510</v>
      </c>
      <c r="D382" s="388">
        <v>0</v>
      </c>
      <c r="E382" s="388">
        <v>0</v>
      </c>
      <c r="F382" s="398">
        <f t="shared" si="89"/>
        <v>5833.333333333333</v>
      </c>
      <c r="G382" s="398">
        <v>5833.333333333333</v>
      </c>
      <c r="H382" s="398">
        <v>5833.333333333333</v>
      </c>
      <c r="I382" s="398">
        <v>5833.333333333333</v>
      </c>
      <c r="J382" s="405">
        <f t="shared" si="90"/>
        <v>6081</v>
      </c>
      <c r="K382" s="407">
        <f t="shared" ref="K382:Q382" si="118">+J382</f>
        <v>6081</v>
      </c>
      <c r="L382" s="407">
        <f t="shared" si="118"/>
        <v>6081</v>
      </c>
      <c r="M382" s="407">
        <f t="shared" si="118"/>
        <v>6081</v>
      </c>
      <c r="N382" s="407">
        <f t="shared" si="118"/>
        <v>6081</v>
      </c>
      <c r="O382" s="407">
        <f t="shared" si="118"/>
        <v>6081</v>
      </c>
      <c r="P382" s="407">
        <f t="shared" si="118"/>
        <v>6081</v>
      </c>
      <c r="Q382" s="407">
        <f t="shared" si="118"/>
        <v>6081</v>
      </c>
      <c r="R382" s="406">
        <f t="shared" si="93"/>
        <v>71981.333333333328</v>
      </c>
      <c r="S382" s="388">
        <f t="shared" si="104"/>
        <v>74860.58666666667</v>
      </c>
      <c r="T382" s="388">
        <f t="shared" si="104"/>
        <v>77855.010133333344</v>
      </c>
      <c r="V382" s="398">
        <v>70000</v>
      </c>
    </row>
    <row r="383" spans="1:22" s="398" customFormat="1" x14ac:dyDescent="0.2">
      <c r="A383" s="403"/>
      <c r="B383" s="446"/>
      <c r="C383" s="398" t="s">
        <v>511</v>
      </c>
      <c r="D383" s="388">
        <v>0</v>
      </c>
      <c r="E383" s="388">
        <v>0</v>
      </c>
      <c r="F383" s="398">
        <f t="shared" si="89"/>
        <v>5833.333333333333</v>
      </c>
      <c r="G383" s="398">
        <v>5833.333333333333</v>
      </c>
      <c r="H383" s="398">
        <v>5833.333333333333</v>
      </c>
      <c r="I383" s="398">
        <v>5833.333333333333</v>
      </c>
      <c r="J383" s="405">
        <f t="shared" si="90"/>
        <v>6081</v>
      </c>
      <c r="K383" s="407">
        <f t="shared" ref="K383:Q383" si="119">+J383</f>
        <v>6081</v>
      </c>
      <c r="L383" s="407">
        <f t="shared" si="119"/>
        <v>6081</v>
      </c>
      <c r="M383" s="407">
        <f t="shared" si="119"/>
        <v>6081</v>
      </c>
      <c r="N383" s="407">
        <f t="shared" si="119"/>
        <v>6081</v>
      </c>
      <c r="O383" s="407">
        <f t="shared" si="119"/>
        <v>6081</v>
      </c>
      <c r="P383" s="407">
        <f t="shared" si="119"/>
        <v>6081</v>
      </c>
      <c r="Q383" s="407">
        <f t="shared" si="119"/>
        <v>6081</v>
      </c>
      <c r="R383" s="406">
        <f t="shared" si="93"/>
        <v>71981.333333333328</v>
      </c>
      <c r="S383" s="388">
        <f t="shared" si="104"/>
        <v>74860.58666666667</v>
      </c>
      <c r="T383" s="388">
        <f t="shared" si="104"/>
        <v>77855.010133333344</v>
      </c>
      <c r="V383" s="398">
        <v>70000</v>
      </c>
    </row>
    <row r="384" spans="1:22" s="398" customFormat="1" x14ac:dyDescent="0.2">
      <c r="A384" s="403"/>
      <c r="B384" s="446"/>
      <c r="C384" s="398" t="s">
        <v>512</v>
      </c>
      <c r="D384" s="388">
        <v>0</v>
      </c>
      <c r="E384" s="388">
        <v>0</v>
      </c>
      <c r="F384" s="398">
        <f t="shared" si="89"/>
        <v>5833.333333333333</v>
      </c>
      <c r="G384" s="398">
        <v>5833.333333333333</v>
      </c>
      <c r="H384" s="398">
        <v>5833.333333333333</v>
      </c>
      <c r="I384" s="398">
        <v>5833.333333333333</v>
      </c>
      <c r="J384" s="405">
        <f t="shared" si="90"/>
        <v>6081</v>
      </c>
      <c r="K384" s="407">
        <f t="shared" ref="K384:Q384" si="120">+J384</f>
        <v>6081</v>
      </c>
      <c r="L384" s="407">
        <f t="shared" si="120"/>
        <v>6081</v>
      </c>
      <c r="M384" s="407">
        <f t="shared" si="120"/>
        <v>6081</v>
      </c>
      <c r="N384" s="407">
        <f t="shared" si="120"/>
        <v>6081</v>
      </c>
      <c r="O384" s="407">
        <f t="shared" si="120"/>
        <v>6081</v>
      </c>
      <c r="P384" s="407">
        <f t="shared" si="120"/>
        <v>6081</v>
      </c>
      <c r="Q384" s="407">
        <f t="shared" si="120"/>
        <v>6081</v>
      </c>
      <c r="R384" s="406">
        <f t="shared" si="93"/>
        <v>71981.333333333328</v>
      </c>
      <c r="S384" s="388">
        <f t="shared" si="104"/>
        <v>74860.58666666667</v>
      </c>
      <c r="T384" s="388">
        <f t="shared" si="104"/>
        <v>77855.010133333344</v>
      </c>
      <c r="V384" s="398">
        <v>70000</v>
      </c>
    </row>
    <row r="385" spans="1:22" s="398" customFormat="1" x14ac:dyDescent="0.2">
      <c r="A385" s="403"/>
      <c r="B385" s="446"/>
      <c r="C385" s="398" t="s">
        <v>513</v>
      </c>
      <c r="D385" s="388">
        <v>0</v>
      </c>
      <c r="E385" s="388">
        <v>0</v>
      </c>
      <c r="F385" s="398">
        <f t="shared" si="89"/>
        <v>5833.333333333333</v>
      </c>
      <c r="G385" s="398">
        <v>5833.333333333333</v>
      </c>
      <c r="H385" s="398">
        <v>5833.333333333333</v>
      </c>
      <c r="I385" s="398">
        <v>5833.333333333333</v>
      </c>
      <c r="J385" s="405">
        <f t="shared" si="90"/>
        <v>6081</v>
      </c>
      <c r="K385" s="407">
        <f t="shared" ref="K385:Q385" si="121">+J385</f>
        <v>6081</v>
      </c>
      <c r="L385" s="407">
        <f t="shared" si="121"/>
        <v>6081</v>
      </c>
      <c r="M385" s="407">
        <f t="shared" si="121"/>
        <v>6081</v>
      </c>
      <c r="N385" s="407">
        <f t="shared" si="121"/>
        <v>6081</v>
      </c>
      <c r="O385" s="407">
        <f t="shared" si="121"/>
        <v>6081</v>
      </c>
      <c r="P385" s="407">
        <f t="shared" si="121"/>
        <v>6081</v>
      </c>
      <c r="Q385" s="407">
        <f t="shared" si="121"/>
        <v>6081</v>
      </c>
      <c r="R385" s="406">
        <f t="shared" si="93"/>
        <v>71981.333333333328</v>
      </c>
      <c r="S385" s="388">
        <f t="shared" si="104"/>
        <v>74860.58666666667</v>
      </c>
      <c r="T385" s="388">
        <f t="shared" si="104"/>
        <v>77855.010133333344</v>
      </c>
      <c r="V385" s="398">
        <v>70000</v>
      </c>
    </row>
    <row r="386" spans="1:22" s="398" customFormat="1" x14ac:dyDescent="0.2">
      <c r="A386" s="403"/>
      <c r="B386" s="446"/>
      <c r="C386" s="398" t="s">
        <v>514</v>
      </c>
      <c r="D386" s="388">
        <v>0</v>
      </c>
      <c r="E386" s="388">
        <v>0</v>
      </c>
      <c r="F386" s="398">
        <f t="shared" si="89"/>
        <v>3609.5</v>
      </c>
      <c r="G386" s="398">
        <v>3609.5</v>
      </c>
      <c r="H386" s="398">
        <v>3609.5</v>
      </c>
      <c r="I386" s="398">
        <v>3609.5</v>
      </c>
      <c r="J386" s="405">
        <f t="shared" si="90"/>
        <v>3763</v>
      </c>
      <c r="K386" s="407">
        <f t="shared" ref="K386:Q386" si="122">+J386</f>
        <v>3763</v>
      </c>
      <c r="L386" s="407">
        <f t="shared" si="122"/>
        <v>3763</v>
      </c>
      <c r="M386" s="407">
        <f t="shared" si="122"/>
        <v>3763</v>
      </c>
      <c r="N386" s="407">
        <f t="shared" si="122"/>
        <v>3763</v>
      </c>
      <c r="O386" s="407">
        <f t="shared" si="122"/>
        <v>3763</v>
      </c>
      <c r="P386" s="407">
        <f t="shared" si="122"/>
        <v>3763</v>
      </c>
      <c r="Q386" s="407">
        <f t="shared" si="122"/>
        <v>3763</v>
      </c>
      <c r="R386" s="406">
        <f t="shared" si="93"/>
        <v>44542</v>
      </c>
      <c r="S386" s="388">
        <f t="shared" si="104"/>
        <v>46323.68</v>
      </c>
      <c r="T386" s="388">
        <f t="shared" si="104"/>
        <v>48176.627200000003</v>
      </c>
      <c r="V386" s="398">
        <v>43314</v>
      </c>
    </row>
    <row r="387" spans="1:22" x14ac:dyDescent="0.2">
      <c r="C387" t="s">
        <v>79</v>
      </c>
      <c r="D387" s="440">
        <v>1990424</v>
      </c>
      <c r="E387" s="440">
        <v>2571983</v>
      </c>
      <c r="F387" s="287">
        <f>SUM(F348:F386)</f>
        <v>345497.24999999988</v>
      </c>
      <c r="G387" s="287">
        <f t="shared" ref="G387:T387" si="123">SUM(G348:G386)</f>
        <v>345497.24999999988</v>
      </c>
      <c r="H387" s="287">
        <f t="shared" si="123"/>
        <v>345497.24999999988</v>
      </c>
      <c r="I387" s="287">
        <f t="shared" si="123"/>
        <v>345497.24999999988</v>
      </c>
      <c r="J387" s="287">
        <f t="shared" si="123"/>
        <v>360185</v>
      </c>
      <c r="K387" s="287">
        <f t="shared" si="123"/>
        <v>360185</v>
      </c>
      <c r="L387" s="287">
        <f t="shared" si="123"/>
        <v>360185</v>
      </c>
      <c r="M387" s="287">
        <f t="shared" si="123"/>
        <v>360185</v>
      </c>
      <c r="N387" s="287">
        <f t="shared" si="123"/>
        <v>360185</v>
      </c>
      <c r="O387" s="287">
        <f t="shared" si="123"/>
        <v>360185</v>
      </c>
      <c r="P387" s="287">
        <f t="shared" si="123"/>
        <v>360185</v>
      </c>
      <c r="Q387" s="287">
        <f t="shared" si="123"/>
        <v>360185</v>
      </c>
      <c r="R387" s="303">
        <f t="shared" si="123"/>
        <v>4263469</v>
      </c>
      <c r="S387" s="303">
        <f t="shared" si="123"/>
        <v>4434007.76</v>
      </c>
      <c r="T387" s="303">
        <f t="shared" si="123"/>
        <v>4611368.0704000015</v>
      </c>
    </row>
    <row r="388" spans="1:22" x14ac:dyDescent="0.2">
      <c r="D388" s="387"/>
      <c r="E388" s="387"/>
      <c r="F388"/>
      <c r="G388"/>
      <c r="H388"/>
      <c r="I388"/>
      <c r="J388"/>
      <c r="K388"/>
      <c r="L388"/>
      <c r="M388"/>
      <c r="N388"/>
      <c r="O388"/>
      <c r="P388"/>
      <c r="Q388"/>
      <c r="R388" s="196"/>
      <c r="S388" s="196"/>
      <c r="T388" s="196"/>
    </row>
    <row r="389" spans="1:22" ht="15.75" x14ac:dyDescent="0.25">
      <c r="C389" s="13" t="s">
        <v>128</v>
      </c>
      <c r="D389" s="387"/>
      <c r="E389" s="387"/>
      <c r="F389"/>
      <c r="G389"/>
      <c r="H389"/>
      <c r="I389"/>
      <c r="J389"/>
      <c r="K389"/>
      <c r="L389"/>
      <c r="M389"/>
      <c r="N389"/>
      <c r="O389"/>
      <c r="P389"/>
      <c r="Q389"/>
      <c r="R389" s="196"/>
      <c r="S389" s="196"/>
      <c r="T389" s="196"/>
    </row>
    <row r="390" spans="1:22" s="18" customFormat="1" x14ac:dyDescent="0.2">
      <c r="B390" s="318"/>
      <c r="C390" s="405" t="s">
        <v>118</v>
      </c>
      <c r="D390" s="432"/>
      <c r="E390" s="432"/>
      <c r="F390" s="18">
        <f>+F348</f>
        <v>16667</v>
      </c>
      <c r="G390" s="18">
        <f t="shared" ref="G390:Q390" si="124">+G348+F390</f>
        <v>33334</v>
      </c>
      <c r="H390" s="18">
        <f t="shared" si="124"/>
        <v>50001</v>
      </c>
      <c r="I390" s="18">
        <f t="shared" si="124"/>
        <v>66668</v>
      </c>
      <c r="J390" s="18">
        <f t="shared" si="124"/>
        <v>84043</v>
      </c>
      <c r="K390" s="18">
        <f t="shared" si="124"/>
        <v>101418</v>
      </c>
      <c r="L390" s="18">
        <f t="shared" si="124"/>
        <v>118793</v>
      </c>
      <c r="M390" s="18">
        <f t="shared" si="124"/>
        <v>136168</v>
      </c>
      <c r="N390" s="18">
        <f t="shared" si="124"/>
        <v>153543</v>
      </c>
      <c r="O390" s="18">
        <f t="shared" si="124"/>
        <v>170918</v>
      </c>
      <c r="P390" s="18">
        <f t="shared" si="124"/>
        <v>188293</v>
      </c>
      <c r="Q390" s="18">
        <f t="shared" si="124"/>
        <v>205668</v>
      </c>
      <c r="R390" s="248"/>
      <c r="S390" s="248"/>
      <c r="T390" s="248"/>
    </row>
    <row r="391" spans="1:22" s="18" customFormat="1" x14ac:dyDescent="0.2">
      <c r="B391" s="318"/>
      <c r="C391" s="405" t="s">
        <v>119</v>
      </c>
      <c r="D391" s="432"/>
      <c r="E391" s="432"/>
      <c r="F391" s="18">
        <f>+F349</f>
        <v>16667</v>
      </c>
      <c r="G391" s="18">
        <f t="shared" ref="G391:Q391" si="125">+G349+F391</f>
        <v>33334</v>
      </c>
      <c r="H391" s="18">
        <f t="shared" si="125"/>
        <v>50001</v>
      </c>
      <c r="I391" s="18">
        <f t="shared" si="125"/>
        <v>66668</v>
      </c>
      <c r="J391" s="18">
        <f t="shared" si="125"/>
        <v>84043</v>
      </c>
      <c r="K391" s="18">
        <f t="shared" si="125"/>
        <v>101418</v>
      </c>
      <c r="L391" s="18">
        <f t="shared" si="125"/>
        <v>118793</v>
      </c>
      <c r="M391" s="18">
        <f t="shared" si="125"/>
        <v>136168</v>
      </c>
      <c r="N391" s="18">
        <f t="shared" si="125"/>
        <v>153543</v>
      </c>
      <c r="O391" s="18">
        <f t="shared" si="125"/>
        <v>170918</v>
      </c>
      <c r="P391" s="18">
        <f t="shared" si="125"/>
        <v>188293</v>
      </c>
      <c r="Q391" s="18">
        <f t="shared" si="125"/>
        <v>205668</v>
      </c>
      <c r="R391" s="248"/>
      <c r="S391" s="248"/>
      <c r="T391" s="248"/>
    </row>
    <row r="392" spans="1:22" s="18" customFormat="1" x14ac:dyDescent="0.2">
      <c r="B392" s="318"/>
      <c r="C392" s="405" t="s">
        <v>120</v>
      </c>
      <c r="D392" s="432"/>
      <c r="E392" s="432"/>
      <c r="F392" s="18">
        <f t="shared" ref="F392:F428" si="126">+F350</f>
        <v>16667</v>
      </c>
      <c r="G392" s="18">
        <f t="shared" ref="G392:Q392" si="127">+G350+F392</f>
        <v>33334</v>
      </c>
      <c r="H392" s="18">
        <f t="shared" si="127"/>
        <v>50001</v>
      </c>
      <c r="I392" s="18">
        <f t="shared" si="127"/>
        <v>66668</v>
      </c>
      <c r="J392" s="18">
        <f t="shared" si="127"/>
        <v>84043</v>
      </c>
      <c r="K392" s="18">
        <f t="shared" si="127"/>
        <v>101418</v>
      </c>
      <c r="L392" s="18">
        <f t="shared" si="127"/>
        <v>118793</v>
      </c>
      <c r="M392" s="18">
        <f t="shared" si="127"/>
        <v>136168</v>
      </c>
      <c r="N392" s="18">
        <f t="shared" si="127"/>
        <v>153543</v>
      </c>
      <c r="O392" s="18">
        <f t="shared" si="127"/>
        <v>170918</v>
      </c>
      <c r="P392" s="18">
        <f t="shared" si="127"/>
        <v>188293</v>
      </c>
      <c r="Q392" s="18">
        <f t="shared" si="127"/>
        <v>205668</v>
      </c>
      <c r="R392" s="248"/>
      <c r="S392" s="248"/>
      <c r="T392" s="248"/>
    </row>
    <row r="393" spans="1:22" s="18" customFormat="1" x14ac:dyDescent="0.2">
      <c r="B393" s="318"/>
      <c r="C393" s="405" t="s">
        <v>121</v>
      </c>
      <c r="D393" s="432"/>
      <c r="E393" s="432"/>
      <c r="F393" s="18">
        <f t="shared" si="126"/>
        <v>16667</v>
      </c>
      <c r="G393" s="18">
        <f t="shared" ref="G393:Q393" si="128">+G351+F393</f>
        <v>33334</v>
      </c>
      <c r="H393" s="18">
        <f t="shared" si="128"/>
        <v>50001</v>
      </c>
      <c r="I393" s="18">
        <f t="shared" si="128"/>
        <v>66668</v>
      </c>
      <c r="J393" s="18">
        <f t="shared" si="128"/>
        <v>84043</v>
      </c>
      <c r="K393" s="18">
        <f t="shared" si="128"/>
        <v>101418</v>
      </c>
      <c r="L393" s="18">
        <f t="shared" si="128"/>
        <v>118793</v>
      </c>
      <c r="M393" s="18">
        <f t="shared" si="128"/>
        <v>136168</v>
      </c>
      <c r="N393" s="18">
        <f t="shared" si="128"/>
        <v>153543</v>
      </c>
      <c r="O393" s="18">
        <f t="shared" si="128"/>
        <v>170918</v>
      </c>
      <c r="P393" s="18">
        <f t="shared" si="128"/>
        <v>188293</v>
      </c>
      <c r="Q393" s="18">
        <f t="shared" si="128"/>
        <v>205668</v>
      </c>
      <c r="R393" s="248"/>
      <c r="S393" s="248"/>
      <c r="T393" s="248"/>
    </row>
    <row r="394" spans="1:22" s="18" customFormat="1" x14ac:dyDescent="0.2">
      <c r="B394" s="318"/>
      <c r="C394" s="405" t="s">
        <v>122</v>
      </c>
      <c r="D394" s="432"/>
      <c r="E394" s="432"/>
      <c r="F394" s="18">
        <f t="shared" si="126"/>
        <v>11685</v>
      </c>
      <c r="G394" s="18">
        <f t="shared" ref="G394:Q394" si="129">+G352+F394</f>
        <v>23370</v>
      </c>
      <c r="H394" s="18">
        <f t="shared" si="129"/>
        <v>35055</v>
      </c>
      <c r="I394" s="18">
        <f t="shared" si="129"/>
        <v>46740</v>
      </c>
      <c r="J394" s="18">
        <f t="shared" si="129"/>
        <v>58922</v>
      </c>
      <c r="K394" s="18">
        <f t="shared" si="129"/>
        <v>71104</v>
      </c>
      <c r="L394" s="18">
        <f t="shared" si="129"/>
        <v>83286</v>
      </c>
      <c r="M394" s="18">
        <f t="shared" si="129"/>
        <v>95468</v>
      </c>
      <c r="N394" s="18">
        <f t="shared" si="129"/>
        <v>107650</v>
      </c>
      <c r="O394" s="18">
        <f t="shared" si="129"/>
        <v>119832</v>
      </c>
      <c r="P394" s="18">
        <f t="shared" si="129"/>
        <v>132014</v>
      </c>
      <c r="Q394" s="18">
        <f t="shared" si="129"/>
        <v>144196</v>
      </c>
      <c r="R394" s="248"/>
      <c r="S394" s="248"/>
      <c r="T394" s="248"/>
    </row>
    <row r="395" spans="1:22" s="18" customFormat="1" x14ac:dyDescent="0.2">
      <c r="B395" s="318"/>
      <c r="C395" s="405" t="s">
        <v>123</v>
      </c>
      <c r="D395" s="432"/>
      <c r="E395" s="432"/>
      <c r="F395" s="18">
        <f t="shared" si="126"/>
        <v>9279.25</v>
      </c>
      <c r="G395" s="18">
        <f t="shared" ref="G395:Q395" si="130">+G353+F395</f>
        <v>18558.5</v>
      </c>
      <c r="H395" s="18">
        <f t="shared" si="130"/>
        <v>27837.75</v>
      </c>
      <c r="I395" s="18">
        <f t="shared" si="130"/>
        <v>37117</v>
      </c>
      <c r="J395" s="18">
        <f t="shared" si="130"/>
        <v>46791</v>
      </c>
      <c r="K395" s="18">
        <f t="shared" si="130"/>
        <v>56465</v>
      </c>
      <c r="L395" s="18">
        <f t="shared" si="130"/>
        <v>66139</v>
      </c>
      <c r="M395" s="18">
        <f t="shared" si="130"/>
        <v>75813</v>
      </c>
      <c r="N395" s="18">
        <f t="shared" si="130"/>
        <v>85487</v>
      </c>
      <c r="O395" s="18">
        <f t="shared" si="130"/>
        <v>95161</v>
      </c>
      <c r="P395" s="18">
        <f t="shared" si="130"/>
        <v>104835</v>
      </c>
      <c r="Q395" s="18">
        <f t="shared" si="130"/>
        <v>114509</v>
      </c>
      <c r="R395" s="248"/>
      <c r="S395" s="248"/>
      <c r="T395" s="248"/>
    </row>
    <row r="396" spans="1:22" s="18" customFormat="1" x14ac:dyDescent="0.2">
      <c r="B396" s="318"/>
      <c r="C396" s="405" t="s">
        <v>124</v>
      </c>
      <c r="D396" s="432"/>
      <c r="E396" s="432"/>
      <c r="F396" s="18">
        <f t="shared" si="126"/>
        <v>9279.25</v>
      </c>
      <c r="G396" s="18">
        <f t="shared" ref="G396:Q396" si="131">+G354+F396</f>
        <v>18558.5</v>
      </c>
      <c r="H396" s="18">
        <f t="shared" si="131"/>
        <v>27837.75</v>
      </c>
      <c r="I396" s="18">
        <f t="shared" si="131"/>
        <v>37117</v>
      </c>
      <c r="J396" s="18">
        <f t="shared" si="131"/>
        <v>46791</v>
      </c>
      <c r="K396" s="18">
        <f t="shared" si="131"/>
        <v>56465</v>
      </c>
      <c r="L396" s="18">
        <f t="shared" si="131"/>
        <v>66139</v>
      </c>
      <c r="M396" s="18">
        <f t="shared" si="131"/>
        <v>75813</v>
      </c>
      <c r="N396" s="18">
        <f t="shared" si="131"/>
        <v>85487</v>
      </c>
      <c r="O396" s="18">
        <f t="shared" si="131"/>
        <v>95161</v>
      </c>
      <c r="P396" s="18">
        <f t="shared" si="131"/>
        <v>104835</v>
      </c>
      <c r="Q396" s="18">
        <f t="shared" si="131"/>
        <v>114509</v>
      </c>
      <c r="R396" s="248"/>
      <c r="S396" s="248"/>
      <c r="T396" s="248"/>
    </row>
    <row r="397" spans="1:22" s="18" customFormat="1" x14ac:dyDescent="0.2">
      <c r="B397" s="318"/>
      <c r="C397" s="405" t="s">
        <v>125</v>
      </c>
      <c r="D397" s="432"/>
      <c r="E397" s="432"/>
      <c r="F397" s="18">
        <f t="shared" si="126"/>
        <v>9279.25</v>
      </c>
      <c r="G397" s="18">
        <f t="shared" ref="G397:Q397" si="132">+G355+F397</f>
        <v>18558.5</v>
      </c>
      <c r="H397" s="18">
        <f t="shared" si="132"/>
        <v>27837.75</v>
      </c>
      <c r="I397" s="18">
        <f t="shared" si="132"/>
        <v>37117</v>
      </c>
      <c r="J397" s="18">
        <f t="shared" si="132"/>
        <v>46791</v>
      </c>
      <c r="K397" s="18">
        <f t="shared" si="132"/>
        <v>56465</v>
      </c>
      <c r="L397" s="18">
        <f t="shared" si="132"/>
        <v>66139</v>
      </c>
      <c r="M397" s="18">
        <f t="shared" si="132"/>
        <v>75813</v>
      </c>
      <c r="N397" s="18">
        <f t="shared" si="132"/>
        <v>85487</v>
      </c>
      <c r="O397" s="18">
        <f t="shared" si="132"/>
        <v>95161</v>
      </c>
      <c r="P397" s="18">
        <f t="shared" si="132"/>
        <v>104835</v>
      </c>
      <c r="Q397" s="18">
        <f t="shared" si="132"/>
        <v>114509</v>
      </c>
      <c r="R397" s="248"/>
      <c r="S397" s="248"/>
      <c r="T397" s="248"/>
    </row>
    <row r="398" spans="1:22" s="18" customFormat="1" x14ac:dyDescent="0.2">
      <c r="B398" s="318"/>
      <c r="C398" s="405" t="s">
        <v>126</v>
      </c>
      <c r="D398" s="432"/>
      <c r="E398" s="432"/>
      <c r="F398" s="18">
        <f t="shared" si="126"/>
        <v>9279.25</v>
      </c>
      <c r="G398" s="18">
        <f t="shared" ref="G398:Q398" si="133">+G356+F398</f>
        <v>18558.5</v>
      </c>
      <c r="H398" s="18">
        <f t="shared" si="133"/>
        <v>27837.75</v>
      </c>
      <c r="I398" s="18">
        <f t="shared" si="133"/>
        <v>37117</v>
      </c>
      <c r="J398" s="18">
        <f t="shared" si="133"/>
        <v>46791</v>
      </c>
      <c r="K398" s="18">
        <f t="shared" si="133"/>
        <v>56465</v>
      </c>
      <c r="L398" s="18">
        <f t="shared" si="133"/>
        <v>66139</v>
      </c>
      <c r="M398" s="18">
        <f t="shared" si="133"/>
        <v>75813</v>
      </c>
      <c r="N398" s="18">
        <f t="shared" si="133"/>
        <v>85487</v>
      </c>
      <c r="O398" s="18">
        <f t="shared" si="133"/>
        <v>95161</v>
      </c>
      <c r="P398" s="18">
        <f t="shared" si="133"/>
        <v>104835</v>
      </c>
      <c r="Q398" s="18">
        <f t="shared" si="133"/>
        <v>114509</v>
      </c>
      <c r="R398" s="248"/>
      <c r="S398" s="248"/>
      <c r="T398" s="248"/>
    </row>
    <row r="399" spans="1:22" s="18" customFormat="1" x14ac:dyDescent="0.2">
      <c r="B399" s="318"/>
      <c r="C399" s="405" t="s">
        <v>127</v>
      </c>
      <c r="D399" s="441"/>
      <c r="E399" s="441"/>
      <c r="F399" s="18">
        <f t="shared" si="126"/>
        <v>9279.25</v>
      </c>
      <c r="G399" s="18">
        <f t="shared" ref="G399:Q399" si="134">+G357+F399</f>
        <v>18558.5</v>
      </c>
      <c r="H399" s="18">
        <f t="shared" si="134"/>
        <v>27837.75</v>
      </c>
      <c r="I399" s="18">
        <f t="shared" si="134"/>
        <v>37117</v>
      </c>
      <c r="J399" s="18">
        <f t="shared" si="134"/>
        <v>46791</v>
      </c>
      <c r="K399" s="18">
        <f t="shared" si="134"/>
        <v>56465</v>
      </c>
      <c r="L399" s="18">
        <f t="shared" si="134"/>
        <v>66139</v>
      </c>
      <c r="M399" s="18">
        <f t="shared" si="134"/>
        <v>75813</v>
      </c>
      <c r="N399" s="18">
        <f t="shared" si="134"/>
        <v>85487</v>
      </c>
      <c r="O399" s="18">
        <f t="shared" si="134"/>
        <v>95161</v>
      </c>
      <c r="P399" s="18">
        <f t="shared" si="134"/>
        <v>104835</v>
      </c>
      <c r="Q399" s="18">
        <f t="shared" si="134"/>
        <v>114509</v>
      </c>
      <c r="R399" s="333"/>
      <c r="S399" s="333"/>
      <c r="T399" s="333"/>
    </row>
    <row r="400" spans="1:22" s="18" customFormat="1" x14ac:dyDescent="0.2">
      <c r="B400" s="318"/>
      <c r="C400" s="405" t="s">
        <v>486</v>
      </c>
      <c r="D400" s="432"/>
      <c r="E400" s="432"/>
      <c r="F400" s="18">
        <f t="shared" si="126"/>
        <v>9279.25</v>
      </c>
      <c r="G400" s="18">
        <f t="shared" ref="G400:Q400" si="135">+G358+F400</f>
        <v>18558.5</v>
      </c>
      <c r="H400" s="18">
        <f t="shared" si="135"/>
        <v>27837.75</v>
      </c>
      <c r="I400" s="18">
        <f t="shared" si="135"/>
        <v>37117</v>
      </c>
      <c r="J400" s="18">
        <f t="shared" si="135"/>
        <v>46791</v>
      </c>
      <c r="K400" s="18">
        <f t="shared" si="135"/>
        <v>56465</v>
      </c>
      <c r="L400" s="18">
        <f t="shared" si="135"/>
        <v>66139</v>
      </c>
      <c r="M400" s="18">
        <f t="shared" si="135"/>
        <v>75813</v>
      </c>
      <c r="N400" s="18">
        <f t="shared" si="135"/>
        <v>85487</v>
      </c>
      <c r="O400" s="18">
        <f t="shared" si="135"/>
        <v>95161</v>
      </c>
      <c r="P400" s="18">
        <f t="shared" si="135"/>
        <v>104835</v>
      </c>
      <c r="Q400" s="18">
        <f t="shared" si="135"/>
        <v>114509</v>
      </c>
      <c r="R400" s="248"/>
      <c r="S400" s="248"/>
      <c r="T400" s="248"/>
    </row>
    <row r="401" spans="2:20" s="18" customFormat="1" x14ac:dyDescent="0.2">
      <c r="B401" s="318"/>
      <c r="C401" s="405" t="s">
        <v>487</v>
      </c>
      <c r="D401" s="432"/>
      <c r="E401" s="432"/>
      <c r="F401" s="18">
        <f t="shared" si="126"/>
        <v>9279.25</v>
      </c>
      <c r="G401" s="18">
        <f t="shared" ref="G401:Q401" si="136">+G359+F401</f>
        <v>18558.5</v>
      </c>
      <c r="H401" s="18">
        <f t="shared" si="136"/>
        <v>27837.75</v>
      </c>
      <c r="I401" s="18">
        <f t="shared" si="136"/>
        <v>37117</v>
      </c>
      <c r="J401" s="18">
        <f t="shared" si="136"/>
        <v>46791</v>
      </c>
      <c r="K401" s="18">
        <f t="shared" si="136"/>
        <v>56465</v>
      </c>
      <c r="L401" s="18">
        <f t="shared" si="136"/>
        <v>66139</v>
      </c>
      <c r="M401" s="18">
        <f t="shared" si="136"/>
        <v>75813</v>
      </c>
      <c r="N401" s="18">
        <f t="shared" si="136"/>
        <v>85487</v>
      </c>
      <c r="O401" s="18">
        <f t="shared" si="136"/>
        <v>95161</v>
      </c>
      <c r="P401" s="18">
        <f t="shared" si="136"/>
        <v>104835</v>
      </c>
      <c r="Q401" s="18">
        <f t="shared" si="136"/>
        <v>114509</v>
      </c>
      <c r="R401" s="248"/>
      <c r="S401" s="248"/>
      <c r="T401" s="248"/>
    </row>
    <row r="402" spans="2:20" s="18" customFormat="1" x14ac:dyDescent="0.2">
      <c r="B402" s="318"/>
      <c r="C402" s="405" t="s">
        <v>488</v>
      </c>
      <c r="D402" s="432"/>
      <c r="E402" s="432"/>
      <c r="F402" s="18">
        <f t="shared" si="126"/>
        <v>9279.25</v>
      </c>
      <c r="G402" s="18">
        <f t="shared" ref="G402:Q402" si="137">+G360+F402</f>
        <v>18558.5</v>
      </c>
      <c r="H402" s="18">
        <f t="shared" si="137"/>
        <v>27837.75</v>
      </c>
      <c r="I402" s="18">
        <f t="shared" si="137"/>
        <v>37117</v>
      </c>
      <c r="J402" s="18">
        <f t="shared" si="137"/>
        <v>46791</v>
      </c>
      <c r="K402" s="18">
        <f t="shared" si="137"/>
        <v>56465</v>
      </c>
      <c r="L402" s="18">
        <f t="shared" si="137"/>
        <v>66139</v>
      </c>
      <c r="M402" s="18">
        <f t="shared" si="137"/>
        <v>75813</v>
      </c>
      <c r="N402" s="18">
        <f t="shared" si="137"/>
        <v>85487</v>
      </c>
      <c r="O402" s="18">
        <f t="shared" si="137"/>
        <v>95161</v>
      </c>
      <c r="P402" s="18">
        <f t="shared" si="137"/>
        <v>104835</v>
      </c>
      <c r="Q402" s="18">
        <f t="shared" si="137"/>
        <v>114509</v>
      </c>
      <c r="R402" s="248"/>
      <c r="S402" s="248"/>
      <c r="T402" s="248"/>
    </row>
    <row r="403" spans="2:20" s="18" customFormat="1" x14ac:dyDescent="0.2">
      <c r="B403" s="318"/>
      <c r="C403" s="405" t="s">
        <v>489</v>
      </c>
      <c r="D403" s="432"/>
      <c r="E403" s="432"/>
      <c r="F403" s="18">
        <f t="shared" si="126"/>
        <v>9279.25</v>
      </c>
      <c r="G403" s="18">
        <f t="shared" ref="G403:Q403" si="138">+G361+F403</f>
        <v>18558.5</v>
      </c>
      <c r="H403" s="18">
        <f t="shared" si="138"/>
        <v>27837.75</v>
      </c>
      <c r="I403" s="18">
        <f t="shared" si="138"/>
        <v>37117</v>
      </c>
      <c r="J403" s="18">
        <f t="shared" si="138"/>
        <v>46791</v>
      </c>
      <c r="K403" s="18">
        <f t="shared" si="138"/>
        <v>56465</v>
      </c>
      <c r="L403" s="18">
        <f t="shared" si="138"/>
        <v>66139</v>
      </c>
      <c r="M403" s="18">
        <f t="shared" si="138"/>
        <v>75813</v>
      </c>
      <c r="N403" s="18">
        <f t="shared" si="138"/>
        <v>85487</v>
      </c>
      <c r="O403" s="18">
        <f t="shared" si="138"/>
        <v>95161</v>
      </c>
      <c r="P403" s="18">
        <f t="shared" si="138"/>
        <v>104835</v>
      </c>
      <c r="Q403" s="18">
        <f t="shared" si="138"/>
        <v>114509</v>
      </c>
      <c r="R403" s="248"/>
      <c r="S403" s="248"/>
      <c r="T403" s="248"/>
    </row>
    <row r="404" spans="2:20" s="18" customFormat="1" x14ac:dyDescent="0.2">
      <c r="B404" s="318"/>
      <c r="C404" s="405" t="s">
        <v>490</v>
      </c>
      <c r="D404" s="432"/>
      <c r="E404" s="432"/>
      <c r="F404" s="18">
        <f t="shared" si="126"/>
        <v>3609.5</v>
      </c>
      <c r="G404" s="18">
        <f t="shared" ref="G404:Q404" si="139">+G362+F404</f>
        <v>7219</v>
      </c>
      <c r="H404" s="18">
        <f t="shared" si="139"/>
        <v>10828.5</v>
      </c>
      <c r="I404" s="18">
        <f t="shared" si="139"/>
        <v>14438</v>
      </c>
      <c r="J404" s="18">
        <f t="shared" si="139"/>
        <v>18201</v>
      </c>
      <c r="K404" s="18">
        <f t="shared" si="139"/>
        <v>21964</v>
      </c>
      <c r="L404" s="18">
        <f t="shared" si="139"/>
        <v>25727</v>
      </c>
      <c r="M404" s="18">
        <f t="shared" si="139"/>
        <v>29490</v>
      </c>
      <c r="N404" s="18">
        <f t="shared" si="139"/>
        <v>33253</v>
      </c>
      <c r="O404" s="18">
        <f t="shared" si="139"/>
        <v>37016</v>
      </c>
      <c r="P404" s="18">
        <f t="shared" si="139"/>
        <v>40779</v>
      </c>
      <c r="Q404" s="18">
        <f t="shared" si="139"/>
        <v>44542</v>
      </c>
      <c r="R404" s="248"/>
      <c r="S404" s="248"/>
      <c r="T404" s="248"/>
    </row>
    <row r="405" spans="2:20" s="18" customFormat="1" x14ac:dyDescent="0.2">
      <c r="B405" s="318"/>
      <c r="C405" s="405" t="s">
        <v>491</v>
      </c>
      <c r="D405" s="432"/>
      <c r="E405" s="432"/>
      <c r="F405" s="18">
        <f t="shared" si="126"/>
        <v>3609.5</v>
      </c>
      <c r="G405" s="18">
        <f t="shared" ref="G405:Q405" si="140">+G363+F405</f>
        <v>7219</v>
      </c>
      <c r="H405" s="18">
        <f t="shared" si="140"/>
        <v>10828.5</v>
      </c>
      <c r="I405" s="18">
        <f t="shared" si="140"/>
        <v>14438</v>
      </c>
      <c r="J405" s="18">
        <f t="shared" si="140"/>
        <v>18201</v>
      </c>
      <c r="K405" s="18">
        <f t="shared" si="140"/>
        <v>21964</v>
      </c>
      <c r="L405" s="18">
        <f t="shared" si="140"/>
        <v>25727</v>
      </c>
      <c r="M405" s="18">
        <f t="shared" si="140"/>
        <v>29490</v>
      </c>
      <c r="N405" s="18">
        <f t="shared" si="140"/>
        <v>33253</v>
      </c>
      <c r="O405" s="18">
        <f t="shared" si="140"/>
        <v>37016</v>
      </c>
      <c r="P405" s="18">
        <f t="shared" si="140"/>
        <v>40779</v>
      </c>
      <c r="Q405" s="18">
        <f t="shared" si="140"/>
        <v>44542</v>
      </c>
      <c r="R405" s="248"/>
      <c r="S405" s="248"/>
      <c r="T405" s="248"/>
    </row>
    <row r="406" spans="2:20" s="18" customFormat="1" x14ac:dyDescent="0.2">
      <c r="B406" s="318"/>
      <c r="C406" s="405" t="s">
        <v>492</v>
      </c>
      <c r="D406" s="432"/>
      <c r="E406" s="432"/>
      <c r="F406" s="18">
        <f t="shared" si="126"/>
        <v>3750</v>
      </c>
      <c r="G406" s="18">
        <f t="shared" ref="G406:Q406" si="141">+G364+F406</f>
        <v>7500</v>
      </c>
      <c r="H406" s="18">
        <f t="shared" si="141"/>
        <v>11250</v>
      </c>
      <c r="I406" s="18">
        <f t="shared" si="141"/>
        <v>15000</v>
      </c>
      <c r="J406" s="18">
        <f t="shared" si="141"/>
        <v>18909</v>
      </c>
      <c r="K406" s="18">
        <f t="shared" si="141"/>
        <v>22818</v>
      </c>
      <c r="L406" s="18">
        <f t="shared" si="141"/>
        <v>26727</v>
      </c>
      <c r="M406" s="18">
        <f t="shared" si="141"/>
        <v>30636</v>
      </c>
      <c r="N406" s="18">
        <f t="shared" si="141"/>
        <v>34545</v>
      </c>
      <c r="O406" s="18">
        <f t="shared" si="141"/>
        <v>38454</v>
      </c>
      <c r="P406" s="18">
        <f t="shared" si="141"/>
        <v>42363</v>
      </c>
      <c r="Q406" s="18">
        <f t="shared" si="141"/>
        <v>46272</v>
      </c>
      <c r="R406" s="248"/>
      <c r="S406" s="248"/>
      <c r="T406" s="248"/>
    </row>
    <row r="407" spans="2:20" s="18" customFormat="1" x14ac:dyDescent="0.2">
      <c r="B407" s="318"/>
      <c r="C407" s="405" t="s">
        <v>493</v>
      </c>
      <c r="D407" s="432"/>
      <c r="E407" s="432"/>
      <c r="F407" s="18">
        <f t="shared" si="126"/>
        <v>3750</v>
      </c>
      <c r="G407" s="18">
        <f t="shared" ref="G407:Q407" si="142">+G365+F407</f>
        <v>7500</v>
      </c>
      <c r="H407" s="18">
        <f t="shared" si="142"/>
        <v>11250</v>
      </c>
      <c r="I407" s="18">
        <f t="shared" si="142"/>
        <v>15000</v>
      </c>
      <c r="J407" s="18">
        <f t="shared" si="142"/>
        <v>18909</v>
      </c>
      <c r="K407" s="18">
        <f t="shared" si="142"/>
        <v>22818</v>
      </c>
      <c r="L407" s="18">
        <f t="shared" si="142"/>
        <v>26727</v>
      </c>
      <c r="M407" s="18">
        <f t="shared" si="142"/>
        <v>30636</v>
      </c>
      <c r="N407" s="18">
        <f t="shared" si="142"/>
        <v>34545</v>
      </c>
      <c r="O407" s="18">
        <f t="shared" si="142"/>
        <v>38454</v>
      </c>
      <c r="P407" s="18">
        <f t="shared" si="142"/>
        <v>42363</v>
      </c>
      <c r="Q407" s="18">
        <f t="shared" si="142"/>
        <v>46272</v>
      </c>
      <c r="R407" s="248"/>
      <c r="S407" s="248"/>
      <c r="T407" s="248"/>
    </row>
    <row r="408" spans="2:20" s="18" customFormat="1" x14ac:dyDescent="0.2">
      <c r="B408" s="318"/>
      <c r="C408" s="405" t="s">
        <v>494</v>
      </c>
      <c r="D408" s="432"/>
      <c r="E408" s="432"/>
      <c r="F408" s="18">
        <f t="shared" si="126"/>
        <v>1653.1666666666667</v>
      </c>
      <c r="G408" s="18">
        <f t="shared" ref="G408:Q408" si="143">+G366+F408</f>
        <v>3306.3333333333335</v>
      </c>
      <c r="H408" s="18">
        <f t="shared" si="143"/>
        <v>4959.5</v>
      </c>
      <c r="I408" s="18">
        <f t="shared" si="143"/>
        <v>6612.666666666667</v>
      </c>
      <c r="J408" s="18">
        <f t="shared" si="143"/>
        <v>8335.6666666666679</v>
      </c>
      <c r="K408" s="18">
        <f t="shared" si="143"/>
        <v>10058.666666666668</v>
      </c>
      <c r="L408" s="18">
        <f t="shared" si="143"/>
        <v>11781.666666666668</v>
      </c>
      <c r="M408" s="18">
        <f t="shared" si="143"/>
        <v>13504.666666666668</v>
      </c>
      <c r="N408" s="18">
        <f t="shared" si="143"/>
        <v>15227.666666666668</v>
      </c>
      <c r="O408" s="18">
        <f t="shared" si="143"/>
        <v>16950.666666666668</v>
      </c>
      <c r="P408" s="18">
        <f t="shared" si="143"/>
        <v>18673.666666666668</v>
      </c>
      <c r="Q408" s="18">
        <f t="shared" si="143"/>
        <v>20396.666666666668</v>
      </c>
      <c r="R408" s="248"/>
      <c r="S408" s="248"/>
      <c r="T408" s="248"/>
    </row>
    <row r="409" spans="2:20" s="18" customFormat="1" x14ac:dyDescent="0.2">
      <c r="B409" s="318"/>
      <c r="C409" s="405" t="s">
        <v>495</v>
      </c>
      <c r="D409" s="432"/>
      <c r="E409" s="432"/>
      <c r="F409" s="18">
        <f t="shared" si="126"/>
        <v>1653.1666666666667</v>
      </c>
      <c r="G409" s="18">
        <f t="shared" ref="G409:Q409" si="144">+G367+F409</f>
        <v>3306.3333333333335</v>
      </c>
      <c r="H409" s="18">
        <f t="shared" si="144"/>
        <v>4959.5</v>
      </c>
      <c r="I409" s="18">
        <f t="shared" si="144"/>
        <v>6612.666666666667</v>
      </c>
      <c r="J409" s="18">
        <f t="shared" si="144"/>
        <v>8335.6666666666679</v>
      </c>
      <c r="K409" s="18">
        <f t="shared" si="144"/>
        <v>10058.666666666668</v>
      </c>
      <c r="L409" s="18">
        <f t="shared" si="144"/>
        <v>11781.666666666668</v>
      </c>
      <c r="M409" s="18">
        <f t="shared" si="144"/>
        <v>13504.666666666668</v>
      </c>
      <c r="N409" s="18">
        <f t="shared" si="144"/>
        <v>15227.666666666668</v>
      </c>
      <c r="O409" s="18">
        <f t="shared" si="144"/>
        <v>16950.666666666668</v>
      </c>
      <c r="P409" s="18">
        <f t="shared" si="144"/>
        <v>18673.666666666668</v>
      </c>
      <c r="Q409" s="18">
        <f t="shared" si="144"/>
        <v>20396.666666666668</v>
      </c>
      <c r="R409" s="248"/>
      <c r="S409" s="248"/>
      <c r="T409" s="248"/>
    </row>
    <row r="410" spans="2:20" s="18" customFormat="1" x14ac:dyDescent="0.2">
      <c r="B410" s="318"/>
      <c r="C410" s="405" t="s">
        <v>496</v>
      </c>
      <c r="D410" s="432"/>
      <c r="E410" s="432"/>
      <c r="F410" s="18">
        <f t="shared" si="126"/>
        <v>16667</v>
      </c>
      <c r="G410" s="18">
        <f t="shared" ref="G410:Q410" si="145">+G368+F410</f>
        <v>33334</v>
      </c>
      <c r="H410" s="18">
        <f t="shared" si="145"/>
        <v>50001</v>
      </c>
      <c r="I410" s="18">
        <f t="shared" si="145"/>
        <v>66668</v>
      </c>
      <c r="J410" s="18">
        <f t="shared" si="145"/>
        <v>84043</v>
      </c>
      <c r="K410" s="18">
        <f t="shared" si="145"/>
        <v>101418</v>
      </c>
      <c r="L410" s="18">
        <f t="shared" si="145"/>
        <v>118793</v>
      </c>
      <c r="M410" s="18">
        <f t="shared" si="145"/>
        <v>136168</v>
      </c>
      <c r="N410" s="18">
        <f t="shared" si="145"/>
        <v>153543</v>
      </c>
      <c r="O410" s="18">
        <f t="shared" si="145"/>
        <v>170918</v>
      </c>
      <c r="P410" s="18">
        <f t="shared" si="145"/>
        <v>188293</v>
      </c>
      <c r="Q410" s="18">
        <f t="shared" si="145"/>
        <v>205668</v>
      </c>
      <c r="R410" s="248"/>
      <c r="S410" s="248"/>
      <c r="T410" s="248"/>
    </row>
    <row r="411" spans="2:20" s="18" customFormat="1" x14ac:dyDescent="0.2">
      <c r="B411" s="318"/>
      <c r="C411" s="405" t="s">
        <v>497</v>
      </c>
      <c r="D411" s="432"/>
      <c r="E411" s="432"/>
      <c r="F411" s="18">
        <f t="shared" si="126"/>
        <v>11685</v>
      </c>
      <c r="G411" s="18">
        <f t="shared" ref="G411:Q411" si="146">+G369+F411</f>
        <v>23370</v>
      </c>
      <c r="H411" s="18">
        <f t="shared" si="146"/>
        <v>35055</v>
      </c>
      <c r="I411" s="18">
        <f t="shared" si="146"/>
        <v>46740</v>
      </c>
      <c r="J411" s="18">
        <f t="shared" si="146"/>
        <v>58922</v>
      </c>
      <c r="K411" s="18">
        <f t="shared" si="146"/>
        <v>71104</v>
      </c>
      <c r="L411" s="18">
        <f t="shared" si="146"/>
        <v>83286</v>
      </c>
      <c r="M411" s="18">
        <f t="shared" si="146"/>
        <v>95468</v>
      </c>
      <c r="N411" s="18">
        <f t="shared" si="146"/>
        <v>107650</v>
      </c>
      <c r="O411" s="18">
        <f t="shared" si="146"/>
        <v>119832</v>
      </c>
      <c r="P411" s="18">
        <f t="shared" si="146"/>
        <v>132014</v>
      </c>
      <c r="Q411" s="18">
        <f t="shared" si="146"/>
        <v>144196</v>
      </c>
      <c r="R411" s="248"/>
      <c r="S411" s="248"/>
      <c r="T411" s="248"/>
    </row>
    <row r="412" spans="2:20" s="18" customFormat="1" x14ac:dyDescent="0.2">
      <c r="B412" s="318"/>
      <c r="C412" s="405" t="s">
        <v>498</v>
      </c>
      <c r="D412" s="432"/>
      <c r="E412" s="432"/>
      <c r="F412" s="18">
        <f t="shared" si="126"/>
        <v>11685</v>
      </c>
      <c r="G412" s="18">
        <f t="shared" ref="G412:Q412" si="147">+G370+F412</f>
        <v>23370</v>
      </c>
      <c r="H412" s="18">
        <f t="shared" si="147"/>
        <v>35055</v>
      </c>
      <c r="I412" s="18">
        <f t="shared" si="147"/>
        <v>46740</v>
      </c>
      <c r="J412" s="18">
        <f t="shared" si="147"/>
        <v>58922</v>
      </c>
      <c r="K412" s="18">
        <f t="shared" si="147"/>
        <v>71104</v>
      </c>
      <c r="L412" s="18">
        <f t="shared" si="147"/>
        <v>83286</v>
      </c>
      <c r="M412" s="18">
        <f t="shared" si="147"/>
        <v>95468</v>
      </c>
      <c r="N412" s="18">
        <f t="shared" si="147"/>
        <v>107650</v>
      </c>
      <c r="O412" s="18">
        <f t="shared" si="147"/>
        <v>119832</v>
      </c>
      <c r="P412" s="18">
        <f t="shared" si="147"/>
        <v>132014</v>
      </c>
      <c r="Q412" s="18">
        <f t="shared" si="147"/>
        <v>144196</v>
      </c>
      <c r="R412" s="248"/>
      <c r="S412" s="248"/>
      <c r="T412" s="248"/>
    </row>
    <row r="413" spans="2:20" s="18" customFormat="1" x14ac:dyDescent="0.2">
      <c r="B413" s="318"/>
      <c r="C413" s="405" t="s">
        <v>499</v>
      </c>
      <c r="D413" s="432"/>
      <c r="E413" s="432"/>
      <c r="F413" s="18">
        <f t="shared" si="126"/>
        <v>9279.25</v>
      </c>
      <c r="G413" s="18">
        <f t="shared" ref="G413:Q413" si="148">+G371+F413</f>
        <v>18558.5</v>
      </c>
      <c r="H413" s="18">
        <f t="shared" si="148"/>
        <v>27837.75</v>
      </c>
      <c r="I413" s="18">
        <f t="shared" si="148"/>
        <v>37117</v>
      </c>
      <c r="J413" s="18">
        <f t="shared" si="148"/>
        <v>46791</v>
      </c>
      <c r="K413" s="18">
        <f t="shared" si="148"/>
        <v>56465</v>
      </c>
      <c r="L413" s="18">
        <f t="shared" si="148"/>
        <v>66139</v>
      </c>
      <c r="M413" s="18">
        <f t="shared" si="148"/>
        <v>75813</v>
      </c>
      <c r="N413" s="18">
        <f t="shared" si="148"/>
        <v>85487</v>
      </c>
      <c r="O413" s="18">
        <f t="shared" si="148"/>
        <v>95161</v>
      </c>
      <c r="P413" s="18">
        <f t="shared" si="148"/>
        <v>104835</v>
      </c>
      <c r="Q413" s="18">
        <f t="shared" si="148"/>
        <v>114509</v>
      </c>
      <c r="R413" s="248"/>
      <c r="S413" s="248"/>
      <c r="T413" s="248"/>
    </row>
    <row r="414" spans="2:20" s="18" customFormat="1" x14ac:dyDescent="0.2">
      <c r="B414" s="318"/>
      <c r="C414" s="405" t="s">
        <v>500</v>
      </c>
      <c r="D414" s="432"/>
      <c r="E414" s="432"/>
      <c r="F414" s="18">
        <f t="shared" si="126"/>
        <v>9279.25</v>
      </c>
      <c r="G414" s="18">
        <f t="shared" ref="G414:Q414" si="149">+G372+F414</f>
        <v>18558.5</v>
      </c>
      <c r="H414" s="18">
        <f t="shared" si="149"/>
        <v>27837.75</v>
      </c>
      <c r="I414" s="18">
        <f t="shared" si="149"/>
        <v>37117</v>
      </c>
      <c r="J414" s="18">
        <f t="shared" si="149"/>
        <v>46791</v>
      </c>
      <c r="K414" s="18">
        <f t="shared" si="149"/>
        <v>56465</v>
      </c>
      <c r="L414" s="18">
        <f t="shared" si="149"/>
        <v>66139</v>
      </c>
      <c r="M414" s="18">
        <f t="shared" si="149"/>
        <v>75813</v>
      </c>
      <c r="N414" s="18">
        <f t="shared" si="149"/>
        <v>85487</v>
      </c>
      <c r="O414" s="18">
        <f t="shared" si="149"/>
        <v>95161</v>
      </c>
      <c r="P414" s="18">
        <f t="shared" si="149"/>
        <v>104835</v>
      </c>
      <c r="Q414" s="18">
        <f t="shared" si="149"/>
        <v>114509</v>
      </c>
      <c r="R414" s="248"/>
      <c r="S414" s="248"/>
      <c r="T414" s="248"/>
    </row>
    <row r="415" spans="2:20" s="18" customFormat="1" x14ac:dyDescent="0.2">
      <c r="B415" s="318"/>
      <c r="C415" s="405" t="s">
        <v>501</v>
      </c>
      <c r="D415" s="432"/>
      <c r="E415" s="432"/>
      <c r="F415" s="18">
        <f t="shared" si="126"/>
        <v>9279.25</v>
      </c>
      <c r="G415" s="18">
        <f t="shared" ref="G415:Q415" si="150">+G373+F415</f>
        <v>18558.5</v>
      </c>
      <c r="H415" s="18">
        <f t="shared" si="150"/>
        <v>27837.75</v>
      </c>
      <c r="I415" s="18">
        <f t="shared" si="150"/>
        <v>37117</v>
      </c>
      <c r="J415" s="18">
        <f t="shared" si="150"/>
        <v>46791</v>
      </c>
      <c r="K415" s="18">
        <f t="shared" si="150"/>
        <v>56465</v>
      </c>
      <c r="L415" s="18">
        <f t="shared" si="150"/>
        <v>66139</v>
      </c>
      <c r="M415" s="18">
        <f t="shared" si="150"/>
        <v>75813</v>
      </c>
      <c r="N415" s="18">
        <f t="shared" si="150"/>
        <v>85487</v>
      </c>
      <c r="O415" s="18">
        <f t="shared" si="150"/>
        <v>95161</v>
      </c>
      <c r="P415" s="18">
        <f t="shared" si="150"/>
        <v>104835</v>
      </c>
      <c r="Q415" s="18">
        <f t="shared" si="150"/>
        <v>114509</v>
      </c>
      <c r="R415" s="248"/>
      <c r="S415" s="248"/>
      <c r="T415" s="248"/>
    </row>
    <row r="416" spans="2:20" s="18" customFormat="1" x14ac:dyDescent="0.2">
      <c r="B416" s="318"/>
      <c r="C416" s="405" t="s">
        <v>502</v>
      </c>
      <c r="D416" s="432"/>
      <c r="E416" s="432"/>
      <c r="F416" s="18">
        <f t="shared" si="126"/>
        <v>9279.25</v>
      </c>
      <c r="G416" s="18">
        <f t="shared" ref="G416:Q416" si="151">+G374+F416</f>
        <v>18558.5</v>
      </c>
      <c r="H416" s="18">
        <f t="shared" si="151"/>
        <v>27837.75</v>
      </c>
      <c r="I416" s="18">
        <f t="shared" si="151"/>
        <v>37117</v>
      </c>
      <c r="J416" s="18">
        <f t="shared" si="151"/>
        <v>46791</v>
      </c>
      <c r="K416" s="18">
        <f t="shared" si="151"/>
        <v>56465</v>
      </c>
      <c r="L416" s="18">
        <f t="shared" si="151"/>
        <v>66139</v>
      </c>
      <c r="M416" s="18">
        <f t="shared" si="151"/>
        <v>75813</v>
      </c>
      <c r="N416" s="18">
        <f t="shared" si="151"/>
        <v>85487</v>
      </c>
      <c r="O416" s="18">
        <f t="shared" si="151"/>
        <v>95161</v>
      </c>
      <c r="P416" s="18">
        <f t="shared" si="151"/>
        <v>104835</v>
      </c>
      <c r="Q416" s="18">
        <f t="shared" si="151"/>
        <v>114509</v>
      </c>
      <c r="R416" s="248"/>
      <c r="S416" s="248"/>
      <c r="T416" s="248"/>
    </row>
    <row r="417" spans="2:20" s="18" customFormat="1" x14ac:dyDescent="0.2">
      <c r="B417" s="318"/>
      <c r="C417" s="405" t="s">
        <v>503</v>
      </c>
      <c r="D417" s="432"/>
      <c r="E417" s="432"/>
      <c r="F417" s="18">
        <f t="shared" si="126"/>
        <v>9279.25</v>
      </c>
      <c r="G417" s="18">
        <f t="shared" ref="G417:Q417" si="152">+G375+F417</f>
        <v>18558.5</v>
      </c>
      <c r="H417" s="18">
        <f t="shared" si="152"/>
        <v>27837.75</v>
      </c>
      <c r="I417" s="18">
        <f t="shared" si="152"/>
        <v>37117</v>
      </c>
      <c r="J417" s="18">
        <f t="shared" si="152"/>
        <v>46791</v>
      </c>
      <c r="K417" s="18">
        <f t="shared" si="152"/>
        <v>56465</v>
      </c>
      <c r="L417" s="18">
        <f t="shared" si="152"/>
        <v>66139</v>
      </c>
      <c r="M417" s="18">
        <f t="shared" si="152"/>
        <v>75813</v>
      </c>
      <c r="N417" s="18">
        <f t="shared" si="152"/>
        <v>85487</v>
      </c>
      <c r="O417" s="18">
        <f t="shared" si="152"/>
        <v>95161</v>
      </c>
      <c r="P417" s="18">
        <f t="shared" si="152"/>
        <v>104835</v>
      </c>
      <c r="Q417" s="18">
        <f t="shared" si="152"/>
        <v>114509</v>
      </c>
      <c r="R417" s="248"/>
      <c r="S417" s="248"/>
      <c r="T417" s="248"/>
    </row>
    <row r="418" spans="2:20" s="18" customFormat="1" x14ac:dyDescent="0.2">
      <c r="B418" s="318"/>
      <c r="C418" s="405" t="s">
        <v>504</v>
      </c>
      <c r="D418" s="432"/>
      <c r="E418" s="432"/>
      <c r="F418" s="18">
        <f t="shared" si="126"/>
        <v>9279.25</v>
      </c>
      <c r="G418" s="18">
        <f t="shared" ref="G418:Q418" si="153">+G376+F418</f>
        <v>18558.5</v>
      </c>
      <c r="H418" s="18">
        <f t="shared" si="153"/>
        <v>27837.75</v>
      </c>
      <c r="I418" s="18">
        <f t="shared" si="153"/>
        <v>37117</v>
      </c>
      <c r="J418" s="18">
        <f t="shared" si="153"/>
        <v>46791</v>
      </c>
      <c r="K418" s="18">
        <f t="shared" si="153"/>
        <v>56465</v>
      </c>
      <c r="L418" s="18">
        <f t="shared" si="153"/>
        <v>66139</v>
      </c>
      <c r="M418" s="18">
        <f t="shared" si="153"/>
        <v>75813</v>
      </c>
      <c r="N418" s="18">
        <f t="shared" si="153"/>
        <v>85487</v>
      </c>
      <c r="O418" s="18">
        <f t="shared" si="153"/>
        <v>95161</v>
      </c>
      <c r="P418" s="18">
        <f t="shared" si="153"/>
        <v>104835</v>
      </c>
      <c r="Q418" s="18">
        <f t="shared" si="153"/>
        <v>114509</v>
      </c>
      <c r="R418" s="248"/>
      <c r="S418" s="248"/>
      <c r="T418" s="248"/>
    </row>
    <row r="419" spans="2:20" s="18" customFormat="1" x14ac:dyDescent="0.2">
      <c r="B419" s="318"/>
      <c r="C419" s="405" t="s">
        <v>505</v>
      </c>
      <c r="D419" s="432"/>
      <c r="E419" s="432"/>
      <c r="F419" s="18">
        <f t="shared" si="126"/>
        <v>9279.25</v>
      </c>
      <c r="G419" s="18">
        <f t="shared" ref="G419:Q419" si="154">+G377+F419</f>
        <v>18558.5</v>
      </c>
      <c r="H419" s="18">
        <f t="shared" si="154"/>
        <v>27837.75</v>
      </c>
      <c r="I419" s="18">
        <f t="shared" si="154"/>
        <v>37117</v>
      </c>
      <c r="J419" s="18">
        <f t="shared" si="154"/>
        <v>46791</v>
      </c>
      <c r="K419" s="18">
        <f t="shared" si="154"/>
        <v>56465</v>
      </c>
      <c r="L419" s="18">
        <f t="shared" si="154"/>
        <v>66139</v>
      </c>
      <c r="M419" s="18">
        <f t="shared" si="154"/>
        <v>75813</v>
      </c>
      <c r="N419" s="18">
        <f t="shared" si="154"/>
        <v>85487</v>
      </c>
      <c r="O419" s="18">
        <f t="shared" si="154"/>
        <v>95161</v>
      </c>
      <c r="P419" s="18">
        <f t="shared" si="154"/>
        <v>104835</v>
      </c>
      <c r="Q419" s="18">
        <f t="shared" si="154"/>
        <v>114509</v>
      </c>
      <c r="R419" s="248"/>
      <c r="S419" s="248"/>
      <c r="T419" s="248"/>
    </row>
    <row r="420" spans="2:20" s="18" customFormat="1" x14ac:dyDescent="0.2">
      <c r="B420" s="318"/>
      <c r="C420" s="405" t="s">
        <v>506</v>
      </c>
      <c r="D420" s="432"/>
      <c r="E420" s="432"/>
      <c r="F420" s="18">
        <f t="shared" si="126"/>
        <v>9279.25</v>
      </c>
      <c r="G420" s="18">
        <f t="shared" ref="G420:Q420" si="155">+G378+F420</f>
        <v>18558.5</v>
      </c>
      <c r="H420" s="18">
        <f t="shared" si="155"/>
        <v>27837.75</v>
      </c>
      <c r="I420" s="18">
        <f t="shared" si="155"/>
        <v>37117</v>
      </c>
      <c r="J420" s="18">
        <f t="shared" si="155"/>
        <v>46791</v>
      </c>
      <c r="K420" s="18">
        <f t="shared" si="155"/>
        <v>56465</v>
      </c>
      <c r="L420" s="18">
        <f t="shared" si="155"/>
        <v>66139</v>
      </c>
      <c r="M420" s="18">
        <f t="shared" si="155"/>
        <v>75813</v>
      </c>
      <c r="N420" s="18">
        <f t="shared" si="155"/>
        <v>85487</v>
      </c>
      <c r="O420" s="18">
        <f t="shared" si="155"/>
        <v>95161</v>
      </c>
      <c r="P420" s="18">
        <f t="shared" si="155"/>
        <v>104835</v>
      </c>
      <c r="Q420" s="18">
        <f t="shared" si="155"/>
        <v>114509</v>
      </c>
      <c r="R420" s="248"/>
      <c r="S420" s="248"/>
      <c r="T420" s="248"/>
    </row>
    <row r="421" spans="2:20" s="18" customFormat="1" x14ac:dyDescent="0.2">
      <c r="B421" s="318"/>
      <c r="C421" s="405" t="s">
        <v>507</v>
      </c>
      <c r="D421" s="432"/>
      <c r="E421" s="432"/>
      <c r="F421" s="18">
        <f t="shared" si="126"/>
        <v>9279.25</v>
      </c>
      <c r="G421" s="18">
        <f t="shared" ref="G421:Q421" si="156">+G379+F421</f>
        <v>18558.5</v>
      </c>
      <c r="H421" s="18">
        <f t="shared" si="156"/>
        <v>27837.75</v>
      </c>
      <c r="I421" s="18">
        <f t="shared" si="156"/>
        <v>37117</v>
      </c>
      <c r="J421" s="18">
        <f t="shared" si="156"/>
        <v>46791</v>
      </c>
      <c r="K421" s="18">
        <f t="shared" si="156"/>
        <v>56465</v>
      </c>
      <c r="L421" s="18">
        <f t="shared" si="156"/>
        <v>66139</v>
      </c>
      <c r="M421" s="18">
        <f t="shared" si="156"/>
        <v>75813</v>
      </c>
      <c r="N421" s="18">
        <f t="shared" si="156"/>
        <v>85487</v>
      </c>
      <c r="O421" s="18">
        <f t="shared" si="156"/>
        <v>95161</v>
      </c>
      <c r="P421" s="18">
        <f t="shared" si="156"/>
        <v>104835</v>
      </c>
      <c r="Q421" s="18">
        <f t="shared" si="156"/>
        <v>114509</v>
      </c>
      <c r="R421" s="248"/>
      <c r="S421" s="248"/>
      <c r="T421" s="248"/>
    </row>
    <row r="422" spans="2:20" s="18" customFormat="1" x14ac:dyDescent="0.2">
      <c r="B422" s="318"/>
      <c r="C422" s="405" t="s">
        <v>508</v>
      </c>
      <c r="D422" s="432"/>
      <c r="E422" s="432"/>
      <c r="F422" s="18">
        <f t="shared" si="126"/>
        <v>9279.25</v>
      </c>
      <c r="G422" s="18">
        <f t="shared" ref="G422:Q422" si="157">+G380+F422</f>
        <v>18558.5</v>
      </c>
      <c r="H422" s="18">
        <f t="shared" si="157"/>
        <v>27837.75</v>
      </c>
      <c r="I422" s="18">
        <f t="shared" si="157"/>
        <v>37117</v>
      </c>
      <c r="J422" s="18">
        <f t="shared" si="157"/>
        <v>46791</v>
      </c>
      <c r="K422" s="18">
        <f t="shared" si="157"/>
        <v>56465</v>
      </c>
      <c r="L422" s="18">
        <f t="shared" si="157"/>
        <v>66139</v>
      </c>
      <c r="M422" s="18">
        <f t="shared" si="157"/>
        <v>75813</v>
      </c>
      <c r="N422" s="18">
        <f t="shared" si="157"/>
        <v>85487</v>
      </c>
      <c r="O422" s="18">
        <f t="shared" si="157"/>
        <v>95161</v>
      </c>
      <c r="P422" s="18">
        <f t="shared" si="157"/>
        <v>104835</v>
      </c>
      <c r="Q422" s="18">
        <f t="shared" si="157"/>
        <v>114509</v>
      </c>
      <c r="R422" s="248"/>
      <c r="S422" s="248"/>
      <c r="T422" s="248"/>
    </row>
    <row r="423" spans="2:20" s="18" customFormat="1" x14ac:dyDescent="0.2">
      <c r="B423" s="318"/>
      <c r="C423" s="405" t="s">
        <v>509</v>
      </c>
      <c r="D423" s="432"/>
      <c r="E423" s="432"/>
      <c r="F423" s="18">
        <f t="shared" si="126"/>
        <v>5833.333333333333</v>
      </c>
      <c r="G423" s="18">
        <f t="shared" ref="G423:Q423" si="158">+G381+F423</f>
        <v>11666.666666666666</v>
      </c>
      <c r="H423" s="18">
        <f t="shared" si="158"/>
        <v>17500</v>
      </c>
      <c r="I423" s="18">
        <f t="shared" si="158"/>
        <v>23333.333333333332</v>
      </c>
      <c r="J423" s="18">
        <f t="shared" si="158"/>
        <v>29414.333333333332</v>
      </c>
      <c r="K423" s="18">
        <f t="shared" si="158"/>
        <v>35495.333333333328</v>
      </c>
      <c r="L423" s="18">
        <f t="shared" si="158"/>
        <v>41576.333333333328</v>
      </c>
      <c r="M423" s="18">
        <f t="shared" si="158"/>
        <v>47657.333333333328</v>
      </c>
      <c r="N423" s="18">
        <f t="shared" si="158"/>
        <v>53738.333333333328</v>
      </c>
      <c r="O423" s="18">
        <f t="shared" si="158"/>
        <v>59819.333333333328</v>
      </c>
      <c r="P423" s="18">
        <f t="shared" si="158"/>
        <v>65900.333333333328</v>
      </c>
      <c r="Q423" s="18">
        <f t="shared" si="158"/>
        <v>71981.333333333328</v>
      </c>
      <c r="R423" s="248"/>
      <c r="S423" s="248"/>
      <c r="T423" s="248"/>
    </row>
    <row r="424" spans="2:20" s="18" customFormat="1" x14ac:dyDescent="0.2">
      <c r="B424" s="318"/>
      <c r="C424" s="405" t="s">
        <v>510</v>
      </c>
      <c r="D424" s="432"/>
      <c r="E424" s="432"/>
      <c r="F424" s="18">
        <f t="shared" si="126"/>
        <v>5833.333333333333</v>
      </c>
      <c r="G424" s="18">
        <f t="shared" ref="G424:Q424" si="159">+G382+F424</f>
        <v>11666.666666666666</v>
      </c>
      <c r="H424" s="18">
        <f t="shared" si="159"/>
        <v>17500</v>
      </c>
      <c r="I424" s="18">
        <f t="shared" si="159"/>
        <v>23333.333333333332</v>
      </c>
      <c r="J424" s="18">
        <f t="shared" si="159"/>
        <v>29414.333333333332</v>
      </c>
      <c r="K424" s="18">
        <f t="shared" si="159"/>
        <v>35495.333333333328</v>
      </c>
      <c r="L424" s="18">
        <f t="shared" si="159"/>
        <v>41576.333333333328</v>
      </c>
      <c r="M424" s="18">
        <f t="shared" si="159"/>
        <v>47657.333333333328</v>
      </c>
      <c r="N424" s="18">
        <f t="shared" si="159"/>
        <v>53738.333333333328</v>
      </c>
      <c r="O424" s="18">
        <f t="shared" si="159"/>
        <v>59819.333333333328</v>
      </c>
      <c r="P424" s="18">
        <f t="shared" si="159"/>
        <v>65900.333333333328</v>
      </c>
      <c r="Q424" s="18">
        <f t="shared" si="159"/>
        <v>71981.333333333328</v>
      </c>
      <c r="R424" s="248"/>
      <c r="S424" s="248"/>
      <c r="T424" s="248"/>
    </row>
    <row r="425" spans="2:20" s="18" customFormat="1" x14ac:dyDescent="0.2">
      <c r="B425" s="318"/>
      <c r="C425" s="405" t="s">
        <v>511</v>
      </c>
      <c r="D425" s="432"/>
      <c r="E425" s="432"/>
      <c r="F425" s="18">
        <f t="shared" si="126"/>
        <v>5833.333333333333</v>
      </c>
      <c r="G425" s="18">
        <f t="shared" ref="G425:Q425" si="160">+G383+F425</f>
        <v>11666.666666666666</v>
      </c>
      <c r="H425" s="18">
        <f t="shared" si="160"/>
        <v>17500</v>
      </c>
      <c r="I425" s="18">
        <f t="shared" si="160"/>
        <v>23333.333333333332</v>
      </c>
      <c r="J425" s="18">
        <f t="shared" si="160"/>
        <v>29414.333333333332</v>
      </c>
      <c r="K425" s="18">
        <f t="shared" si="160"/>
        <v>35495.333333333328</v>
      </c>
      <c r="L425" s="18">
        <f t="shared" si="160"/>
        <v>41576.333333333328</v>
      </c>
      <c r="M425" s="18">
        <f t="shared" si="160"/>
        <v>47657.333333333328</v>
      </c>
      <c r="N425" s="18">
        <f t="shared" si="160"/>
        <v>53738.333333333328</v>
      </c>
      <c r="O425" s="18">
        <f t="shared" si="160"/>
        <v>59819.333333333328</v>
      </c>
      <c r="P425" s="18">
        <f t="shared" si="160"/>
        <v>65900.333333333328</v>
      </c>
      <c r="Q425" s="18">
        <f t="shared" si="160"/>
        <v>71981.333333333328</v>
      </c>
      <c r="R425" s="248"/>
      <c r="S425" s="248"/>
      <c r="T425" s="248"/>
    </row>
    <row r="426" spans="2:20" s="18" customFormat="1" x14ac:dyDescent="0.2">
      <c r="B426" s="318"/>
      <c r="C426" s="405" t="s">
        <v>512</v>
      </c>
      <c r="D426" s="432"/>
      <c r="E426" s="432"/>
      <c r="F426" s="18">
        <f t="shared" si="126"/>
        <v>5833.333333333333</v>
      </c>
      <c r="G426" s="18">
        <f t="shared" ref="G426:Q426" si="161">+G384+F426</f>
        <v>11666.666666666666</v>
      </c>
      <c r="H426" s="18">
        <f t="shared" si="161"/>
        <v>17500</v>
      </c>
      <c r="I426" s="18">
        <f t="shared" si="161"/>
        <v>23333.333333333332</v>
      </c>
      <c r="J426" s="18">
        <f t="shared" si="161"/>
        <v>29414.333333333332</v>
      </c>
      <c r="K426" s="18">
        <f t="shared" si="161"/>
        <v>35495.333333333328</v>
      </c>
      <c r="L426" s="18">
        <f t="shared" si="161"/>
        <v>41576.333333333328</v>
      </c>
      <c r="M426" s="18">
        <f t="shared" si="161"/>
        <v>47657.333333333328</v>
      </c>
      <c r="N426" s="18">
        <f t="shared" si="161"/>
        <v>53738.333333333328</v>
      </c>
      <c r="O426" s="18">
        <f t="shared" si="161"/>
        <v>59819.333333333328</v>
      </c>
      <c r="P426" s="18">
        <f t="shared" si="161"/>
        <v>65900.333333333328</v>
      </c>
      <c r="Q426" s="18">
        <f t="shared" si="161"/>
        <v>71981.333333333328</v>
      </c>
      <c r="R426" s="248"/>
      <c r="S426" s="248"/>
      <c r="T426" s="248"/>
    </row>
    <row r="427" spans="2:20" s="18" customFormat="1" x14ac:dyDescent="0.2">
      <c r="B427" s="318"/>
      <c r="C427" s="405" t="s">
        <v>513</v>
      </c>
      <c r="D427" s="432"/>
      <c r="E427" s="432"/>
      <c r="F427" s="18">
        <f t="shared" si="126"/>
        <v>5833.333333333333</v>
      </c>
      <c r="G427" s="18">
        <f t="shared" ref="G427:Q427" si="162">+G385+F427</f>
        <v>11666.666666666666</v>
      </c>
      <c r="H427" s="18">
        <f t="shared" si="162"/>
        <v>17500</v>
      </c>
      <c r="I427" s="18">
        <f t="shared" si="162"/>
        <v>23333.333333333332</v>
      </c>
      <c r="J427" s="18">
        <f t="shared" si="162"/>
        <v>29414.333333333332</v>
      </c>
      <c r="K427" s="18">
        <f t="shared" si="162"/>
        <v>35495.333333333328</v>
      </c>
      <c r="L427" s="18">
        <f t="shared" si="162"/>
        <v>41576.333333333328</v>
      </c>
      <c r="M427" s="18">
        <f t="shared" si="162"/>
        <v>47657.333333333328</v>
      </c>
      <c r="N427" s="18">
        <f t="shared" si="162"/>
        <v>53738.333333333328</v>
      </c>
      <c r="O427" s="18">
        <f t="shared" si="162"/>
        <v>59819.333333333328</v>
      </c>
      <c r="P427" s="18">
        <f t="shared" si="162"/>
        <v>65900.333333333328</v>
      </c>
      <c r="Q427" s="18">
        <f t="shared" si="162"/>
        <v>71981.333333333328</v>
      </c>
      <c r="R427" s="248"/>
      <c r="S427" s="248"/>
      <c r="T427" s="248"/>
    </row>
    <row r="428" spans="2:20" s="18" customFormat="1" x14ac:dyDescent="0.2">
      <c r="B428" s="318"/>
      <c r="C428" s="405" t="s">
        <v>514</v>
      </c>
      <c r="D428" s="432"/>
      <c r="E428" s="432"/>
      <c r="F428" s="18">
        <f t="shared" si="126"/>
        <v>3609.5</v>
      </c>
      <c r="G428" s="18">
        <f t="shared" ref="G428:Q428" si="163">+G386+F428</f>
        <v>7219</v>
      </c>
      <c r="H428" s="18">
        <f t="shared" si="163"/>
        <v>10828.5</v>
      </c>
      <c r="I428" s="18">
        <f t="shared" si="163"/>
        <v>14438</v>
      </c>
      <c r="J428" s="18">
        <f t="shared" si="163"/>
        <v>18201</v>
      </c>
      <c r="K428" s="18">
        <f t="shared" si="163"/>
        <v>21964</v>
      </c>
      <c r="L428" s="18">
        <f t="shared" si="163"/>
        <v>25727</v>
      </c>
      <c r="M428" s="18">
        <f t="shared" si="163"/>
        <v>29490</v>
      </c>
      <c r="N428" s="18">
        <f t="shared" si="163"/>
        <v>33253</v>
      </c>
      <c r="O428" s="18">
        <f t="shared" si="163"/>
        <v>37016</v>
      </c>
      <c r="P428" s="18">
        <f t="shared" si="163"/>
        <v>40779</v>
      </c>
      <c r="Q428" s="18">
        <f t="shared" si="163"/>
        <v>44542</v>
      </c>
      <c r="R428" s="248"/>
      <c r="S428" s="248"/>
      <c r="T428" s="248"/>
    </row>
    <row r="429" spans="2:20" x14ac:dyDescent="0.2">
      <c r="D429" s="387"/>
      <c r="E429" s="387"/>
      <c r="F429"/>
      <c r="G429"/>
      <c r="H429"/>
      <c r="I429"/>
      <c r="J429"/>
      <c r="K429"/>
      <c r="L429"/>
      <c r="M429"/>
      <c r="N429"/>
      <c r="O429"/>
      <c r="P429"/>
      <c r="Q429"/>
      <c r="R429" s="196"/>
      <c r="S429" s="196"/>
      <c r="T429" s="196"/>
    </row>
    <row r="430" spans="2:20" ht="15.75" x14ac:dyDescent="0.25">
      <c r="C430" s="13" t="s">
        <v>129</v>
      </c>
      <c r="D430" s="387"/>
      <c r="E430" s="387"/>
      <c r="F430"/>
      <c r="G430"/>
      <c r="H430"/>
      <c r="I430"/>
      <c r="J430"/>
      <c r="K430"/>
      <c r="L430"/>
      <c r="M430"/>
      <c r="N430"/>
      <c r="O430"/>
      <c r="P430"/>
      <c r="Q430"/>
      <c r="R430" s="196"/>
      <c r="S430" s="196"/>
      <c r="T430" s="196"/>
    </row>
    <row r="431" spans="2:20" s="18" customFormat="1" x14ac:dyDescent="0.2">
      <c r="B431" s="318"/>
      <c r="C431" s="405" t="s">
        <v>118</v>
      </c>
      <c r="D431" s="432">
        <f t="shared" ref="D431:E450" si="164">IF(+D348&gt;65000,+(+(D348-65000)*0.02)+(65000*0.09),+D348*0.09)</f>
        <v>0</v>
      </c>
      <c r="E431" s="432">
        <f t="shared" si="164"/>
        <v>0</v>
      </c>
      <c r="F431" s="18">
        <f t="shared" ref="F431:Q431" si="165">ROUND(IF(+F390&gt;76200,+F348*0.02,+F348*0.09),0)</f>
        <v>1500</v>
      </c>
      <c r="G431" s="18">
        <f t="shared" si="165"/>
        <v>1500</v>
      </c>
      <c r="H431" s="18">
        <f t="shared" si="165"/>
        <v>1500</v>
      </c>
      <c r="I431" s="18">
        <f t="shared" si="165"/>
        <v>1500</v>
      </c>
      <c r="J431" s="18">
        <f t="shared" si="165"/>
        <v>348</v>
      </c>
      <c r="K431" s="18">
        <f t="shared" si="165"/>
        <v>348</v>
      </c>
      <c r="L431" s="18">
        <f t="shared" si="165"/>
        <v>348</v>
      </c>
      <c r="M431" s="18">
        <f t="shared" si="165"/>
        <v>348</v>
      </c>
      <c r="N431" s="18">
        <f t="shared" si="165"/>
        <v>348</v>
      </c>
      <c r="O431" s="18">
        <f t="shared" si="165"/>
        <v>348</v>
      </c>
      <c r="P431" s="18">
        <f t="shared" si="165"/>
        <v>348</v>
      </c>
      <c r="Q431" s="18">
        <f t="shared" si="165"/>
        <v>348</v>
      </c>
      <c r="R431" s="248">
        <f>SUM(F431:Q431)</f>
        <v>8784</v>
      </c>
      <c r="S431" s="248">
        <f>ROUND(IF(+S348&gt;78000,+(+(S348-78000)*0.02)+(78000*0.09),+S348*0.09),0)</f>
        <v>9738</v>
      </c>
      <c r="T431" s="248">
        <f>ROUND(IF(+T348&gt;81000,+(+(T348-81000)*0.02)+(81000*0.09),+T348*0.09),0)</f>
        <v>10119</v>
      </c>
    </row>
    <row r="432" spans="2:20" s="18" customFormat="1" x14ac:dyDescent="0.2">
      <c r="B432" s="318"/>
      <c r="C432" s="405" t="s">
        <v>119</v>
      </c>
      <c r="D432" s="432">
        <f t="shared" si="164"/>
        <v>0</v>
      </c>
      <c r="E432" s="432">
        <f t="shared" si="164"/>
        <v>0</v>
      </c>
      <c r="F432" s="18">
        <f t="shared" ref="F432:Q432" si="166">ROUND(IF(+F391&gt;76200,+F349*0.02,+F349*0.09),0)</f>
        <v>1500</v>
      </c>
      <c r="G432" s="18">
        <f t="shared" si="166"/>
        <v>1500</v>
      </c>
      <c r="H432" s="18">
        <f t="shared" si="166"/>
        <v>1500</v>
      </c>
      <c r="I432" s="18">
        <f t="shared" si="166"/>
        <v>1500</v>
      </c>
      <c r="J432" s="18">
        <f t="shared" si="166"/>
        <v>348</v>
      </c>
      <c r="K432" s="18">
        <f t="shared" si="166"/>
        <v>348</v>
      </c>
      <c r="L432" s="18">
        <f t="shared" si="166"/>
        <v>348</v>
      </c>
      <c r="M432" s="18">
        <f t="shared" si="166"/>
        <v>348</v>
      </c>
      <c r="N432" s="18">
        <f t="shared" si="166"/>
        <v>348</v>
      </c>
      <c r="O432" s="18">
        <f t="shared" si="166"/>
        <v>348</v>
      </c>
      <c r="P432" s="18">
        <f t="shared" si="166"/>
        <v>348</v>
      </c>
      <c r="Q432" s="18">
        <f t="shared" si="166"/>
        <v>348</v>
      </c>
      <c r="R432" s="248">
        <f>SUM(F432:Q432)</f>
        <v>8784</v>
      </c>
      <c r="S432" s="248">
        <f t="shared" ref="S432:S469" si="167">ROUND(IF(+S349&gt;78000,+(+(S349-78000)*0.02)+(78000*0.09),+S349*0.09),0)</f>
        <v>9738</v>
      </c>
      <c r="T432" s="248">
        <f t="shared" ref="T432:T469" si="168">ROUND(IF(+T349&gt;81000,+(+(T349-81000)*0.02)+(81000*0.09),+T349*0.09),0)</f>
        <v>10119</v>
      </c>
    </row>
    <row r="433" spans="2:20" s="18" customFormat="1" x14ac:dyDescent="0.2">
      <c r="B433" s="318"/>
      <c r="C433" s="405" t="s">
        <v>120</v>
      </c>
      <c r="D433" s="432">
        <f t="shared" si="164"/>
        <v>0</v>
      </c>
      <c r="E433" s="432">
        <f t="shared" si="164"/>
        <v>0</v>
      </c>
      <c r="F433" s="18">
        <f t="shared" ref="F433:Q433" si="169">ROUND(IF(+F392&gt;76200,+F350*0.02,+F350*0.09),0)</f>
        <v>1500</v>
      </c>
      <c r="G433" s="18">
        <f t="shared" si="169"/>
        <v>1500</v>
      </c>
      <c r="H433" s="18">
        <f t="shared" si="169"/>
        <v>1500</v>
      </c>
      <c r="I433" s="18">
        <f t="shared" si="169"/>
        <v>1500</v>
      </c>
      <c r="J433" s="18">
        <f t="shared" si="169"/>
        <v>348</v>
      </c>
      <c r="K433" s="18">
        <f t="shared" si="169"/>
        <v>348</v>
      </c>
      <c r="L433" s="18">
        <f t="shared" si="169"/>
        <v>348</v>
      </c>
      <c r="M433" s="18">
        <f t="shared" si="169"/>
        <v>348</v>
      </c>
      <c r="N433" s="18">
        <f t="shared" si="169"/>
        <v>348</v>
      </c>
      <c r="O433" s="18">
        <f t="shared" si="169"/>
        <v>348</v>
      </c>
      <c r="P433" s="18">
        <f t="shared" si="169"/>
        <v>348</v>
      </c>
      <c r="Q433" s="18">
        <f t="shared" si="169"/>
        <v>348</v>
      </c>
      <c r="R433" s="248">
        <f>SUM(F433:Q433)</f>
        <v>8784</v>
      </c>
      <c r="S433" s="248">
        <f t="shared" si="167"/>
        <v>9738</v>
      </c>
      <c r="T433" s="248">
        <f t="shared" si="168"/>
        <v>10119</v>
      </c>
    </row>
    <row r="434" spans="2:20" s="18" customFormat="1" x14ac:dyDescent="0.2">
      <c r="B434" s="318"/>
      <c r="C434" s="405" t="s">
        <v>121</v>
      </c>
      <c r="D434" s="432">
        <f t="shared" si="164"/>
        <v>0</v>
      </c>
      <c r="E434" s="432">
        <f t="shared" si="164"/>
        <v>0</v>
      </c>
      <c r="F434" s="18">
        <f t="shared" ref="F434:Q434" si="170">ROUND(IF(+F393&gt;76200,+F351*0.02,+F351*0.09),0)</f>
        <v>1500</v>
      </c>
      <c r="G434" s="18">
        <f t="shared" si="170"/>
        <v>1500</v>
      </c>
      <c r="H434" s="18">
        <f t="shared" si="170"/>
        <v>1500</v>
      </c>
      <c r="I434" s="18">
        <f t="shared" si="170"/>
        <v>1500</v>
      </c>
      <c r="J434" s="18">
        <f t="shared" si="170"/>
        <v>348</v>
      </c>
      <c r="K434" s="18">
        <f t="shared" si="170"/>
        <v>348</v>
      </c>
      <c r="L434" s="18">
        <f t="shared" si="170"/>
        <v>348</v>
      </c>
      <c r="M434" s="18">
        <f t="shared" si="170"/>
        <v>348</v>
      </c>
      <c r="N434" s="18">
        <f t="shared" si="170"/>
        <v>348</v>
      </c>
      <c r="O434" s="18">
        <f t="shared" si="170"/>
        <v>348</v>
      </c>
      <c r="P434" s="18">
        <f t="shared" si="170"/>
        <v>348</v>
      </c>
      <c r="Q434" s="18">
        <f t="shared" si="170"/>
        <v>348</v>
      </c>
      <c r="R434" s="248">
        <f t="shared" ref="R434:R439" si="171">SUM(F434:Q434)</f>
        <v>8784</v>
      </c>
      <c r="S434" s="248">
        <f t="shared" si="167"/>
        <v>9738</v>
      </c>
      <c r="T434" s="248">
        <f t="shared" si="168"/>
        <v>10119</v>
      </c>
    </row>
    <row r="435" spans="2:20" s="18" customFormat="1" x14ac:dyDescent="0.2">
      <c r="B435" s="318"/>
      <c r="C435" s="405" t="s">
        <v>122</v>
      </c>
      <c r="D435" s="432">
        <f t="shared" si="164"/>
        <v>0</v>
      </c>
      <c r="E435" s="432">
        <f t="shared" si="164"/>
        <v>0</v>
      </c>
      <c r="F435" s="18">
        <f t="shared" ref="F435:Q435" si="172">ROUND(IF(+F394&gt;76200,+F352*0.02,+F352*0.09),0)</f>
        <v>1052</v>
      </c>
      <c r="G435" s="18">
        <f t="shared" si="172"/>
        <v>1052</v>
      </c>
      <c r="H435" s="18">
        <f t="shared" si="172"/>
        <v>1052</v>
      </c>
      <c r="I435" s="18">
        <f t="shared" si="172"/>
        <v>1052</v>
      </c>
      <c r="J435" s="18">
        <f t="shared" si="172"/>
        <v>1096</v>
      </c>
      <c r="K435" s="18">
        <f t="shared" si="172"/>
        <v>1096</v>
      </c>
      <c r="L435" s="18">
        <f t="shared" si="172"/>
        <v>244</v>
      </c>
      <c r="M435" s="18">
        <f t="shared" si="172"/>
        <v>244</v>
      </c>
      <c r="N435" s="18">
        <f t="shared" si="172"/>
        <v>244</v>
      </c>
      <c r="O435" s="18">
        <f t="shared" si="172"/>
        <v>244</v>
      </c>
      <c r="P435" s="18">
        <f t="shared" si="172"/>
        <v>244</v>
      </c>
      <c r="Q435" s="18">
        <f t="shared" si="172"/>
        <v>244</v>
      </c>
      <c r="R435" s="248">
        <f t="shared" si="171"/>
        <v>7864</v>
      </c>
      <c r="S435" s="248">
        <f t="shared" si="167"/>
        <v>8459</v>
      </c>
      <c r="T435" s="248">
        <f t="shared" si="168"/>
        <v>8789</v>
      </c>
    </row>
    <row r="436" spans="2:20" s="18" customFormat="1" x14ac:dyDescent="0.2">
      <c r="B436" s="318"/>
      <c r="C436" s="405" t="s">
        <v>123</v>
      </c>
      <c r="D436" s="432">
        <f t="shared" si="164"/>
        <v>0</v>
      </c>
      <c r="E436" s="432">
        <f t="shared" si="164"/>
        <v>0</v>
      </c>
      <c r="F436" s="18">
        <f t="shared" ref="F436:Q436" si="173">ROUND(IF(+F395&gt;76200,+F353*0.02,+F353*0.09),0)</f>
        <v>835</v>
      </c>
      <c r="G436" s="18">
        <f t="shared" si="173"/>
        <v>835</v>
      </c>
      <c r="H436" s="18">
        <f t="shared" si="173"/>
        <v>835</v>
      </c>
      <c r="I436" s="18">
        <f t="shared" si="173"/>
        <v>835</v>
      </c>
      <c r="J436" s="18">
        <f t="shared" si="173"/>
        <v>871</v>
      </c>
      <c r="K436" s="18">
        <f t="shared" si="173"/>
        <v>871</v>
      </c>
      <c r="L436" s="18">
        <f t="shared" si="173"/>
        <v>871</v>
      </c>
      <c r="M436" s="18">
        <f t="shared" si="173"/>
        <v>871</v>
      </c>
      <c r="N436" s="18">
        <f t="shared" si="173"/>
        <v>193</v>
      </c>
      <c r="O436" s="18">
        <f t="shared" si="173"/>
        <v>193</v>
      </c>
      <c r="P436" s="18">
        <f t="shared" si="173"/>
        <v>193</v>
      </c>
      <c r="Q436" s="18">
        <f t="shared" si="173"/>
        <v>193</v>
      </c>
      <c r="R436" s="248">
        <f t="shared" si="171"/>
        <v>7596</v>
      </c>
      <c r="S436" s="248">
        <f t="shared" si="167"/>
        <v>7842</v>
      </c>
      <c r="T436" s="248">
        <f t="shared" si="168"/>
        <v>8147</v>
      </c>
    </row>
    <row r="437" spans="2:20" s="18" customFormat="1" x14ac:dyDescent="0.2">
      <c r="B437" s="318"/>
      <c r="C437" s="405" t="s">
        <v>124</v>
      </c>
      <c r="D437" s="432">
        <f t="shared" si="164"/>
        <v>0</v>
      </c>
      <c r="E437" s="432">
        <f t="shared" si="164"/>
        <v>0</v>
      </c>
      <c r="F437" s="18">
        <f t="shared" ref="F437:Q437" si="174">ROUND(IF(+F396&gt;76200,+F354*0.02,+F354*0.09),0)</f>
        <v>835</v>
      </c>
      <c r="G437" s="18">
        <f t="shared" si="174"/>
        <v>835</v>
      </c>
      <c r="H437" s="18">
        <f t="shared" si="174"/>
        <v>835</v>
      </c>
      <c r="I437" s="18">
        <f t="shared" si="174"/>
        <v>835</v>
      </c>
      <c r="J437" s="18">
        <f t="shared" si="174"/>
        <v>871</v>
      </c>
      <c r="K437" s="18">
        <f t="shared" si="174"/>
        <v>871</v>
      </c>
      <c r="L437" s="18">
        <f t="shared" si="174"/>
        <v>871</v>
      </c>
      <c r="M437" s="18">
        <f t="shared" si="174"/>
        <v>871</v>
      </c>
      <c r="N437" s="18">
        <f t="shared" si="174"/>
        <v>193</v>
      </c>
      <c r="O437" s="18">
        <f t="shared" si="174"/>
        <v>193</v>
      </c>
      <c r="P437" s="18">
        <f t="shared" si="174"/>
        <v>193</v>
      </c>
      <c r="Q437" s="18">
        <f t="shared" si="174"/>
        <v>193</v>
      </c>
      <c r="R437" s="248">
        <f t="shared" si="171"/>
        <v>7596</v>
      </c>
      <c r="S437" s="248">
        <f t="shared" si="167"/>
        <v>7842</v>
      </c>
      <c r="T437" s="248">
        <f t="shared" si="168"/>
        <v>8147</v>
      </c>
    </row>
    <row r="438" spans="2:20" s="18" customFormat="1" x14ac:dyDescent="0.2">
      <c r="B438" s="318"/>
      <c r="C438" s="405" t="s">
        <v>125</v>
      </c>
      <c r="D438" s="432">
        <f t="shared" si="164"/>
        <v>0</v>
      </c>
      <c r="E438" s="432">
        <f t="shared" si="164"/>
        <v>0</v>
      </c>
      <c r="F438" s="18">
        <f t="shared" ref="F438:Q438" si="175">ROUND(IF(+F397&gt;76200,+F355*0.02,+F355*0.09),0)</f>
        <v>835</v>
      </c>
      <c r="G438" s="18">
        <f t="shared" si="175"/>
        <v>835</v>
      </c>
      <c r="H438" s="18">
        <f t="shared" si="175"/>
        <v>835</v>
      </c>
      <c r="I438" s="18">
        <f t="shared" si="175"/>
        <v>835</v>
      </c>
      <c r="J438" s="18">
        <f t="shared" si="175"/>
        <v>871</v>
      </c>
      <c r="K438" s="18">
        <f t="shared" si="175"/>
        <v>871</v>
      </c>
      <c r="L438" s="18">
        <f t="shared" si="175"/>
        <v>871</v>
      </c>
      <c r="M438" s="18">
        <f t="shared" si="175"/>
        <v>871</v>
      </c>
      <c r="N438" s="18">
        <f t="shared" si="175"/>
        <v>193</v>
      </c>
      <c r="O438" s="18">
        <f t="shared" si="175"/>
        <v>193</v>
      </c>
      <c r="P438" s="18">
        <f t="shared" si="175"/>
        <v>193</v>
      </c>
      <c r="Q438" s="18">
        <f t="shared" si="175"/>
        <v>193</v>
      </c>
      <c r="R438" s="248">
        <f t="shared" si="171"/>
        <v>7596</v>
      </c>
      <c r="S438" s="248">
        <f t="shared" si="167"/>
        <v>7842</v>
      </c>
      <c r="T438" s="248">
        <f t="shared" si="168"/>
        <v>8147</v>
      </c>
    </row>
    <row r="439" spans="2:20" s="18" customFormat="1" x14ac:dyDescent="0.2">
      <c r="B439" s="318"/>
      <c r="C439" s="405" t="s">
        <v>126</v>
      </c>
      <c r="D439" s="432">
        <f t="shared" si="164"/>
        <v>0</v>
      </c>
      <c r="E439" s="432">
        <f t="shared" si="164"/>
        <v>0</v>
      </c>
      <c r="F439" s="18">
        <f t="shared" ref="F439:Q439" si="176">ROUND(IF(+F398&gt;76200,+F356*0.02,+F356*0.09),0)</f>
        <v>835</v>
      </c>
      <c r="G439" s="18">
        <f t="shared" si="176"/>
        <v>835</v>
      </c>
      <c r="H439" s="18">
        <f t="shared" si="176"/>
        <v>835</v>
      </c>
      <c r="I439" s="18">
        <f t="shared" si="176"/>
        <v>835</v>
      </c>
      <c r="J439" s="18">
        <f t="shared" si="176"/>
        <v>871</v>
      </c>
      <c r="K439" s="18">
        <f t="shared" si="176"/>
        <v>871</v>
      </c>
      <c r="L439" s="18">
        <f t="shared" si="176"/>
        <v>871</v>
      </c>
      <c r="M439" s="18">
        <f t="shared" si="176"/>
        <v>871</v>
      </c>
      <c r="N439" s="18">
        <f t="shared" si="176"/>
        <v>193</v>
      </c>
      <c r="O439" s="18">
        <f t="shared" si="176"/>
        <v>193</v>
      </c>
      <c r="P439" s="18">
        <f t="shared" si="176"/>
        <v>193</v>
      </c>
      <c r="Q439" s="18">
        <f t="shared" si="176"/>
        <v>193</v>
      </c>
      <c r="R439" s="248">
        <f t="shared" si="171"/>
        <v>7596</v>
      </c>
      <c r="S439" s="248">
        <f t="shared" si="167"/>
        <v>7842</v>
      </c>
      <c r="T439" s="248">
        <f t="shared" si="168"/>
        <v>8147</v>
      </c>
    </row>
    <row r="440" spans="2:20" s="18" customFormat="1" x14ac:dyDescent="0.2">
      <c r="B440" s="318"/>
      <c r="C440" s="405" t="s">
        <v>127</v>
      </c>
      <c r="D440" s="432">
        <f t="shared" si="164"/>
        <v>0</v>
      </c>
      <c r="E440" s="432">
        <f t="shared" si="164"/>
        <v>0</v>
      </c>
      <c r="F440" s="18">
        <f t="shared" ref="F440:Q440" si="177">ROUND(IF(+F399&gt;76200,+F357*0.02,+F357*0.09),0)</f>
        <v>835</v>
      </c>
      <c r="G440" s="18">
        <f t="shared" si="177"/>
        <v>835</v>
      </c>
      <c r="H440" s="18">
        <f t="shared" si="177"/>
        <v>835</v>
      </c>
      <c r="I440" s="18">
        <f t="shared" si="177"/>
        <v>835</v>
      </c>
      <c r="J440" s="18">
        <f t="shared" si="177"/>
        <v>871</v>
      </c>
      <c r="K440" s="18">
        <f t="shared" si="177"/>
        <v>871</v>
      </c>
      <c r="L440" s="18">
        <f t="shared" si="177"/>
        <v>871</v>
      </c>
      <c r="M440" s="18">
        <f t="shared" si="177"/>
        <v>871</v>
      </c>
      <c r="N440" s="18">
        <f t="shared" si="177"/>
        <v>193</v>
      </c>
      <c r="O440" s="18">
        <f t="shared" si="177"/>
        <v>193</v>
      </c>
      <c r="P440" s="18">
        <f t="shared" si="177"/>
        <v>193</v>
      </c>
      <c r="Q440" s="18">
        <f t="shared" si="177"/>
        <v>193</v>
      </c>
      <c r="R440" s="248">
        <f>SUM(F440:Q440)</f>
        <v>7596</v>
      </c>
      <c r="S440" s="248">
        <f t="shared" si="167"/>
        <v>7842</v>
      </c>
      <c r="T440" s="248">
        <f t="shared" si="168"/>
        <v>8147</v>
      </c>
    </row>
    <row r="441" spans="2:20" s="18" customFormat="1" x14ac:dyDescent="0.2">
      <c r="B441" s="318"/>
      <c r="C441" s="405" t="s">
        <v>486</v>
      </c>
      <c r="D441" s="432">
        <f t="shared" si="164"/>
        <v>0</v>
      </c>
      <c r="E441" s="432">
        <f t="shared" si="164"/>
        <v>0</v>
      </c>
      <c r="F441" s="18">
        <f t="shared" ref="F441:Q441" si="178">ROUND(IF(+F400&gt;76200,+F358*0.02,+F358*0.09),0)</f>
        <v>835</v>
      </c>
      <c r="G441" s="18">
        <f t="shared" si="178"/>
        <v>835</v>
      </c>
      <c r="H441" s="18">
        <f t="shared" si="178"/>
        <v>835</v>
      </c>
      <c r="I441" s="18">
        <f t="shared" si="178"/>
        <v>835</v>
      </c>
      <c r="J441" s="18">
        <f t="shared" si="178"/>
        <v>871</v>
      </c>
      <c r="K441" s="18">
        <f t="shared" si="178"/>
        <v>871</v>
      </c>
      <c r="L441" s="18">
        <f t="shared" si="178"/>
        <v>871</v>
      </c>
      <c r="M441" s="18">
        <f t="shared" si="178"/>
        <v>871</v>
      </c>
      <c r="N441" s="18">
        <f t="shared" si="178"/>
        <v>193</v>
      </c>
      <c r="O441" s="18">
        <f t="shared" si="178"/>
        <v>193</v>
      </c>
      <c r="P441" s="18">
        <f t="shared" si="178"/>
        <v>193</v>
      </c>
      <c r="Q441" s="18">
        <f t="shared" si="178"/>
        <v>193</v>
      </c>
      <c r="R441" s="248">
        <f t="shared" ref="R441:R469" si="179">SUM(F441:Q441)</f>
        <v>7596</v>
      </c>
      <c r="S441" s="248">
        <f t="shared" si="167"/>
        <v>7842</v>
      </c>
      <c r="T441" s="248">
        <f t="shared" si="168"/>
        <v>8147</v>
      </c>
    </row>
    <row r="442" spans="2:20" s="18" customFormat="1" x14ac:dyDescent="0.2">
      <c r="B442" s="318"/>
      <c r="C442" s="405" t="s">
        <v>487</v>
      </c>
      <c r="D442" s="432">
        <f t="shared" si="164"/>
        <v>0</v>
      </c>
      <c r="E442" s="432">
        <f t="shared" si="164"/>
        <v>0</v>
      </c>
      <c r="F442" s="18">
        <f t="shared" ref="F442:Q442" si="180">ROUND(IF(+F401&gt;76200,+F359*0.02,+F359*0.09),0)</f>
        <v>835</v>
      </c>
      <c r="G442" s="18">
        <f t="shared" si="180"/>
        <v>835</v>
      </c>
      <c r="H442" s="18">
        <f t="shared" si="180"/>
        <v>835</v>
      </c>
      <c r="I442" s="18">
        <f t="shared" si="180"/>
        <v>835</v>
      </c>
      <c r="J442" s="18">
        <f t="shared" si="180"/>
        <v>871</v>
      </c>
      <c r="K442" s="18">
        <f t="shared" si="180"/>
        <v>871</v>
      </c>
      <c r="L442" s="18">
        <f t="shared" si="180"/>
        <v>871</v>
      </c>
      <c r="M442" s="18">
        <f t="shared" si="180"/>
        <v>871</v>
      </c>
      <c r="N442" s="18">
        <f t="shared" si="180"/>
        <v>193</v>
      </c>
      <c r="O442" s="18">
        <f t="shared" si="180"/>
        <v>193</v>
      </c>
      <c r="P442" s="18">
        <f t="shared" si="180"/>
        <v>193</v>
      </c>
      <c r="Q442" s="18">
        <f t="shared" si="180"/>
        <v>193</v>
      </c>
      <c r="R442" s="248">
        <f t="shared" si="179"/>
        <v>7596</v>
      </c>
      <c r="S442" s="248">
        <f t="shared" si="167"/>
        <v>7842</v>
      </c>
      <c r="T442" s="248">
        <f t="shared" si="168"/>
        <v>8147</v>
      </c>
    </row>
    <row r="443" spans="2:20" s="18" customFormat="1" x14ac:dyDescent="0.2">
      <c r="B443" s="318"/>
      <c r="C443" s="405" t="s">
        <v>488</v>
      </c>
      <c r="D443" s="432">
        <f t="shared" si="164"/>
        <v>0</v>
      </c>
      <c r="E443" s="432">
        <f t="shared" si="164"/>
        <v>0</v>
      </c>
      <c r="F443" s="18">
        <f t="shared" ref="F443:Q443" si="181">ROUND(IF(+F402&gt;76200,+F360*0.02,+F360*0.09),0)</f>
        <v>835</v>
      </c>
      <c r="G443" s="18">
        <f t="shared" si="181"/>
        <v>835</v>
      </c>
      <c r="H443" s="18">
        <f t="shared" si="181"/>
        <v>835</v>
      </c>
      <c r="I443" s="18">
        <f t="shared" si="181"/>
        <v>835</v>
      </c>
      <c r="J443" s="18">
        <f t="shared" si="181"/>
        <v>871</v>
      </c>
      <c r="K443" s="18">
        <f t="shared" si="181"/>
        <v>871</v>
      </c>
      <c r="L443" s="18">
        <f t="shared" si="181"/>
        <v>871</v>
      </c>
      <c r="M443" s="18">
        <f t="shared" si="181"/>
        <v>871</v>
      </c>
      <c r="N443" s="18">
        <f t="shared" si="181"/>
        <v>193</v>
      </c>
      <c r="O443" s="18">
        <f t="shared" si="181"/>
        <v>193</v>
      </c>
      <c r="P443" s="18">
        <f t="shared" si="181"/>
        <v>193</v>
      </c>
      <c r="Q443" s="18">
        <f t="shared" si="181"/>
        <v>193</v>
      </c>
      <c r="R443" s="248">
        <f t="shared" si="179"/>
        <v>7596</v>
      </c>
      <c r="S443" s="248">
        <f t="shared" si="167"/>
        <v>7842</v>
      </c>
      <c r="T443" s="248">
        <f t="shared" si="168"/>
        <v>8147</v>
      </c>
    </row>
    <row r="444" spans="2:20" s="18" customFormat="1" x14ac:dyDescent="0.2">
      <c r="B444" s="318"/>
      <c r="C444" s="405" t="s">
        <v>489</v>
      </c>
      <c r="D444" s="432">
        <f t="shared" si="164"/>
        <v>0</v>
      </c>
      <c r="E444" s="432">
        <f t="shared" si="164"/>
        <v>0</v>
      </c>
      <c r="F444" s="18">
        <f t="shared" ref="F444:Q444" si="182">ROUND(IF(+F403&gt;76200,+F361*0.02,+F361*0.09),0)</f>
        <v>835</v>
      </c>
      <c r="G444" s="18">
        <f t="shared" si="182"/>
        <v>835</v>
      </c>
      <c r="H444" s="18">
        <f t="shared" si="182"/>
        <v>835</v>
      </c>
      <c r="I444" s="18">
        <f t="shared" si="182"/>
        <v>835</v>
      </c>
      <c r="J444" s="18">
        <f t="shared" si="182"/>
        <v>871</v>
      </c>
      <c r="K444" s="18">
        <f t="shared" si="182"/>
        <v>871</v>
      </c>
      <c r="L444" s="18">
        <f t="shared" si="182"/>
        <v>871</v>
      </c>
      <c r="M444" s="18">
        <f t="shared" si="182"/>
        <v>871</v>
      </c>
      <c r="N444" s="18">
        <f t="shared" si="182"/>
        <v>193</v>
      </c>
      <c r="O444" s="18">
        <f t="shared" si="182"/>
        <v>193</v>
      </c>
      <c r="P444" s="18">
        <f t="shared" si="182"/>
        <v>193</v>
      </c>
      <c r="Q444" s="18">
        <f t="shared" si="182"/>
        <v>193</v>
      </c>
      <c r="R444" s="248">
        <f t="shared" si="179"/>
        <v>7596</v>
      </c>
      <c r="S444" s="248">
        <f t="shared" si="167"/>
        <v>7842</v>
      </c>
      <c r="T444" s="248">
        <f t="shared" si="168"/>
        <v>8147</v>
      </c>
    </row>
    <row r="445" spans="2:20" s="18" customFormat="1" x14ac:dyDescent="0.2">
      <c r="B445" s="318"/>
      <c r="C445" s="405" t="s">
        <v>490</v>
      </c>
      <c r="D445" s="432">
        <f t="shared" si="164"/>
        <v>0</v>
      </c>
      <c r="E445" s="432">
        <f t="shared" si="164"/>
        <v>0</v>
      </c>
      <c r="F445" s="18">
        <f t="shared" ref="F445:Q445" si="183">ROUND(IF(+F404&gt;76200,+F362*0.02,+F362*0.09),0)</f>
        <v>325</v>
      </c>
      <c r="G445" s="18">
        <f t="shared" si="183"/>
        <v>325</v>
      </c>
      <c r="H445" s="18">
        <f t="shared" si="183"/>
        <v>325</v>
      </c>
      <c r="I445" s="18">
        <f t="shared" si="183"/>
        <v>325</v>
      </c>
      <c r="J445" s="18">
        <f t="shared" si="183"/>
        <v>339</v>
      </c>
      <c r="K445" s="18">
        <f t="shared" si="183"/>
        <v>339</v>
      </c>
      <c r="L445" s="18">
        <f t="shared" si="183"/>
        <v>339</v>
      </c>
      <c r="M445" s="18">
        <f t="shared" si="183"/>
        <v>339</v>
      </c>
      <c r="N445" s="18">
        <f t="shared" si="183"/>
        <v>339</v>
      </c>
      <c r="O445" s="18">
        <f t="shared" si="183"/>
        <v>339</v>
      </c>
      <c r="P445" s="18">
        <f t="shared" si="183"/>
        <v>339</v>
      </c>
      <c r="Q445" s="18">
        <f t="shared" si="183"/>
        <v>339</v>
      </c>
      <c r="R445" s="248">
        <f t="shared" si="179"/>
        <v>4012</v>
      </c>
      <c r="S445" s="248">
        <f t="shared" si="167"/>
        <v>4169</v>
      </c>
      <c r="T445" s="248">
        <f t="shared" si="168"/>
        <v>4336</v>
      </c>
    </row>
    <row r="446" spans="2:20" s="18" customFormat="1" x14ac:dyDescent="0.2">
      <c r="B446" s="318"/>
      <c r="C446" s="405" t="s">
        <v>491</v>
      </c>
      <c r="D446" s="432">
        <f t="shared" si="164"/>
        <v>0</v>
      </c>
      <c r="E446" s="432">
        <f t="shared" si="164"/>
        <v>0</v>
      </c>
      <c r="F446" s="18">
        <f t="shared" ref="F446:Q446" si="184">ROUND(IF(+F405&gt;76200,+F363*0.02,+F363*0.09),0)</f>
        <v>325</v>
      </c>
      <c r="G446" s="18">
        <f t="shared" si="184"/>
        <v>325</v>
      </c>
      <c r="H446" s="18">
        <f t="shared" si="184"/>
        <v>325</v>
      </c>
      <c r="I446" s="18">
        <f t="shared" si="184"/>
        <v>325</v>
      </c>
      <c r="J446" s="18">
        <f t="shared" si="184"/>
        <v>339</v>
      </c>
      <c r="K446" s="18">
        <f t="shared" si="184"/>
        <v>339</v>
      </c>
      <c r="L446" s="18">
        <f t="shared" si="184"/>
        <v>339</v>
      </c>
      <c r="M446" s="18">
        <f t="shared" si="184"/>
        <v>339</v>
      </c>
      <c r="N446" s="18">
        <f t="shared" si="184"/>
        <v>339</v>
      </c>
      <c r="O446" s="18">
        <f t="shared" si="184"/>
        <v>339</v>
      </c>
      <c r="P446" s="18">
        <f t="shared" si="184"/>
        <v>339</v>
      </c>
      <c r="Q446" s="18">
        <f t="shared" si="184"/>
        <v>339</v>
      </c>
      <c r="R446" s="248">
        <f t="shared" si="179"/>
        <v>4012</v>
      </c>
      <c r="S446" s="248">
        <f t="shared" si="167"/>
        <v>4169</v>
      </c>
      <c r="T446" s="248">
        <f t="shared" si="168"/>
        <v>4336</v>
      </c>
    </row>
    <row r="447" spans="2:20" s="18" customFormat="1" x14ac:dyDescent="0.2">
      <c r="B447" s="318"/>
      <c r="C447" s="405" t="s">
        <v>492</v>
      </c>
      <c r="D447" s="432">
        <f t="shared" si="164"/>
        <v>0</v>
      </c>
      <c r="E447" s="432">
        <f t="shared" si="164"/>
        <v>0</v>
      </c>
      <c r="F447" s="18">
        <f t="shared" ref="F447:Q447" si="185">ROUND(IF(+F406&gt;76200,+F364*0.02,+F364*0.09),0)</f>
        <v>338</v>
      </c>
      <c r="G447" s="18">
        <f t="shared" si="185"/>
        <v>338</v>
      </c>
      <c r="H447" s="18">
        <f t="shared" si="185"/>
        <v>338</v>
      </c>
      <c r="I447" s="18">
        <f t="shared" si="185"/>
        <v>338</v>
      </c>
      <c r="J447" s="18">
        <f t="shared" si="185"/>
        <v>352</v>
      </c>
      <c r="K447" s="18">
        <f t="shared" si="185"/>
        <v>352</v>
      </c>
      <c r="L447" s="18">
        <f t="shared" si="185"/>
        <v>352</v>
      </c>
      <c r="M447" s="18">
        <f t="shared" si="185"/>
        <v>352</v>
      </c>
      <c r="N447" s="18">
        <f t="shared" si="185"/>
        <v>352</v>
      </c>
      <c r="O447" s="18">
        <f t="shared" si="185"/>
        <v>352</v>
      </c>
      <c r="P447" s="18">
        <f t="shared" si="185"/>
        <v>352</v>
      </c>
      <c r="Q447" s="18">
        <f t="shared" si="185"/>
        <v>352</v>
      </c>
      <c r="R447" s="248">
        <f t="shared" si="179"/>
        <v>4168</v>
      </c>
      <c r="S447" s="248">
        <f t="shared" si="167"/>
        <v>4331</v>
      </c>
      <c r="T447" s="248">
        <f t="shared" si="168"/>
        <v>4504</v>
      </c>
    </row>
    <row r="448" spans="2:20" s="18" customFormat="1" x14ac:dyDescent="0.2">
      <c r="B448" s="318"/>
      <c r="C448" s="405" t="s">
        <v>493</v>
      </c>
      <c r="D448" s="432">
        <f t="shared" si="164"/>
        <v>0</v>
      </c>
      <c r="E448" s="432">
        <f t="shared" si="164"/>
        <v>0</v>
      </c>
      <c r="F448" s="18">
        <f t="shared" ref="F448:Q448" si="186">ROUND(IF(+F407&gt;76200,+F365*0.02,+F365*0.09),0)</f>
        <v>338</v>
      </c>
      <c r="G448" s="18">
        <f t="shared" si="186"/>
        <v>338</v>
      </c>
      <c r="H448" s="18">
        <f t="shared" si="186"/>
        <v>338</v>
      </c>
      <c r="I448" s="18">
        <f t="shared" si="186"/>
        <v>338</v>
      </c>
      <c r="J448" s="18">
        <f t="shared" si="186"/>
        <v>352</v>
      </c>
      <c r="K448" s="18">
        <f t="shared" si="186"/>
        <v>352</v>
      </c>
      <c r="L448" s="18">
        <f t="shared" si="186"/>
        <v>352</v>
      </c>
      <c r="M448" s="18">
        <f t="shared" si="186"/>
        <v>352</v>
      </c>
      <c r="N448" s="18">
        <f t="shared" si="186"/>
        <v>352</v>
      </c>
      <c r="O448" s="18">
        <f t="shared" si="186"/>
        <v>352</v>
      </c>
      <c r="P448" s="18">
        <f t="shared" si="186"/>
        <v>352</v>
      </c>
      <c r="Q448" s="18">
        <f t="shared" si="186"/>
        <v>352</v>
      </c>
      <c r="R448" s="248">
        <f t="shared" si="179"/>
        <v>4168</v>
      </c>
      <c r="S448" s="248">
        <f t="shared" si="167"/>
        <v>4331</v>
      </c>
      <c r="T448" s="248">
        <f t="shared" si="168"/>
        <v>4504</v>
      </c>
    </row>
    <row r="449" spans="2:20" s="18" customFormat="1" x14ac:dyDescent="0.2">
      <c r="B449" s="318"/>
      <c r="C449" s="405" t="s">
        <v>494</v>
      </c>
      <c r="D449" s="432">
        <f t="shared" si="164"/>
        <v>0</v>
      </c>
      <c r="E449" s="432">
        <f t="shared" si="164"/>
        <v>0</v>
      </c>
      <c r="F449" s="18">
        <f t="shared" ref="F449:Q449" si="187">ROUND(IF(+F408&gt;76200,+F366*0.02,+F366*0.09),0)</f>
        <v>149</v>
      </c>
      <c r="G449" s="18">
        <f t="shared" si="187"/>
        <v>149</v>
      </c>
      <c r="H449" s="18">
        <f t="shared" si="187"/>
        <v>149</v>
      </c>
      <c r="I449" s="18">
        <f t="shared" si="187"/>
        <v>149</v>
      </c>
      <c r="J449" s="18">
        <f t="shared" si="187"/>
        <v>155</v>
      </c>
      <c r="K449" s="18">
        <f t="shared" si="187"/>
        <v>155</v>
      </c>
      <c r="L449" s="18">
        <f t="shared" si="187"/>
        <v>155</v>
      </c>
      <c r="M449" s="18">
        <f t="shared" si="187"/>
        <v>155</v>
      </c>
      <c r="N449" s="18">
        <f t="shared" si="187"/>
        <v>155</v>
      </c>
      <c r="O449" s="18">
        <f t="shared" si="187"/>
        <v>155</v>
      </c>
      <c r="P449" s="18">
        <f t="shared" si="187"/>
        <v>155</v>
      </c>
      <c r="Q449" s="18">
        <f t="shared" si="187"/>
        <v>155</v>
      </c>
      <c r="R449" s="248">
        <f t="shared" si="179"/>
        <v>1836</v>
      </c>
      <c r="S449" s="248">
        <f t="shared" si="167"/>
        <v>1909</v>
      </c>
      <c r="T449" s="248">
        <f t="shared" si="168"/>
        <v>1985</v>
      </c>
    </row>
    <row r="450" spans="2:20" s="18" customFormat="1" x14ac:dyDescent="0.2">
      <c r="B450" s="318"/>
      <c r="C450" s="405" t="s">
        <v>495</v>
      </c>
      <c r="D450" s="432">
        <f t="shared" si="164"/>
        <v>0</v>
      </c>
      <c r="E450" s="432">
        <f t="shared" si="164"/>
        <v>0</v>
      </c>
      <c r="F450" s="18">
        <f t="shared" ref="F450:Q450" si="188">ROUND(IF(+F409&gt;76200,+F367*0.02,+F367*0.09),0)</f>
        <v>149</v>
      </c>
      <c r="G450" s="18">
        <f t="shared" si="188"/>
        <v>149</v>
      </c>
      <c r="H450" s="18">
        <f t="shared" si="188"/>
        <v>149</v>
      </c>
      <c r="I450" s="18">
        <f t="shared" si="188"/>
        <v>149</v>
      </c>
      <c r="J450" s="18">
        <f t="shared" si="188"/>
        <v>155</v>
      </c>
      <c r="K450" s="18">
        <f t="shared" si="188"/>
        <v>155</v>
      </c>
      <c r="L450" s="18">
        <f t="shared" si="188"/>
        <v>155</v>
      </c>
      <c r="M450" s="18">
        <f t="shared" si="188"/>
        <v>155</v>
      </c>
      <c r="N450" s="18">
        <f t="shared" si="188"/>
        <v>155</v>
      </c>
      <c r="O450" s="18">
        <f t="shared" si="188"/>
        <v>155</v>
      </c>
      <c r="P450" s="18">
        <f t="shared" si="188"/>
        <v>155</v>
      </c>
      <c r="Q450" s="18">
        <f t="shared" si="188"/>
        <v>155</v>
      </c>
      <c r="R450" s="248">
        <f t="shared" si="179"/>
        <v>1836</v>
      </c>
      <c r="S450" s="248">
        <f t="shared" si="167"/>
        <v>1909</v>
      </c>
      <c r="T450" s="248">
        <f t="shared" si="168"/>
        <v>1985</v>
      </c>
    </row>
    <row r="451" spans="2:20" s="18" customFormat="1" x14ac:dyDescent="0.2">
      <c r="B451" s="318"/>
      <c r="C451" s="405" t="s">
        <v>496</v>
      </c>
      <c r="D451" s="432">
        <f t="shared" ref="D451:E470" si="189">IF(+D368&gt;65000,+(+(D368-65000)*0.02)+(65000*0.09),+D368*0.09)</f>
        <v>0</v>
      </c>
      <c r="E451" s="432">
        <f t="shared" si="189"/>
        <v>0</v>
      </c>
      <c r="F451" s="18">
        <f t="shared" ref="F451:Q451" si="190">ROUND(IF(+F410&gt;76200,+F368*0.02,+F368*0.09),0)</f>
        <v>1500</v>
      </c>
      <c r="G451" s="18">
        <f t="shared" si="190"/>
        <v>1500</v>
      </c>
      <c r="H451" s="18">
        <f t="shared" si="190"/>
        <v>1500</v>
      </c>
      <c r="I451" s="18">
        <f t="shared" si="190"/>
        <v>1500</v>
      </c>
      <c r="J451" s="18">
        <f t="shared" si="190"/>
        <v>348</v>
      </c>
      <c r="K451" s="18">
        <f t="shared" si="190"/>
        <v>348</v>
      </c>
      <c r="L451" s="18">
        <f t="shared" si="190"/>
        <v>348</v>
      </c>
      <c r="M451" s="18">
        <f t="shared" si="190"/>
        <v>348</v>
      </c>
      <c r="N451" s="18">
        <f t="shared" si="190"/>
        <v>348</v>
      </c>
      <c r="O451" s="18">
        <f t="shared" si="190"/>
        <v>348</v>
      </c>
      <c r="P451" s="18">
        <f t="shared" si="190"/>
        <v>348</v>
      </c>
      <c r="Q451" s="18">
        <f t="shared" si="190"/>
        <v>348</v>
      </c>
      <c r="R451" s="248">
        <f t="shared" si="179"/>
        <v>8784</v>
      </c>
      <c r="S451" s="248">
        <f t="shared" si="167"/>
        <v>9738</v>
      </c>
      <c r="T451" s="248">
        <f t="shared" si="168"/>
        <v>10119</v>
      </c>
    </row>
    <row r="452" spans="2:20" s="18" customFormat="1" x14ac:dyDescent="0.2">
      <c r="B452" s="318"/>
      <c r="C452" s="405" t="s">
        <v>497</v>
      </c>
      <c r="D452" s="432">
        <f t="shared" si="189"/>
        <v>0</v>
      </c>
      <c r="E452" s="432">
        <f t="shared" si="189"/>
        <v>0</v>
      </c>
      <c r="F452" s="18">
        <f t="shared" ref="F452:Q452" si="191">ROUND(IF(+F411&gt;76200,+F369*0.02,+F369*0.09),0)</f>
        <v>1052</v>
      </c>
      <c r="G452" s="18">
        <f t="shared" si="191"/>
        <v>1052</v>
      </c>
      <c r="H452" s="18">
        <f t="shared" si="191"/>
        <v>1052</v>
      </c>
      <c r="I452" s="18">
        <f t="shared" si="191"/>
        <v>1052</v>
      </c>
      <c r="J452" s="18">
        <f t="shared" si="191"/>
        <v>1096</v>
      </c>
      <c r="K452" s="18">
        <f t="shared" si="191"/>
        <v>1096</v>
      </c>
      <c r="L452" s="18">
        <f t="shared" si="191"/>
        <v>244</v>
      </c>
      <c r="M452" s="18">
        <f t="shared" si="191"/>
        <v>244</v>
      </c>
      <c r="N452" s="18">
        <f t="shared" si="191"/>
        <v>244</v>
      </c>
      <c r="O452" s="18">
        <f t="shared" si="191"/>
        <v>244</v>
      </c>
      <c r="P452" s="18">
        <f t="shared" si="191"/>
        <v>244</v>
      </c>
      <c r="Q452" s="18">
        <f t="shared" si="191"/>
        <v>244</v>
      </c>
      <c r="R452" s="248">
        <f t="shared" si="179"/>
        <v>7864</v>
      </c>
      <c r="S452" s="248">
        <f t="shared" si="167"/>
        <v>8459</v>
      </c>
      <c r="T452" s="248">
        <f t="shared" si="168"/>
        <v>8789</v>
      </c>
    </row>
    <row r="453" spans="2:20" s="18" customFormat="1" x14ac:dyDescent="0.2">
      <c r="B453" s="318"/>
      <c r="C453" s="405" t="s">
        <v>498</v>
      </c>
      <c r="D453" s="432">
        <f t="shared" si="189"/>
        <v>0</v>
      </c>
      <c r="E453" s="432">
        <f t="shared" si="189"/>
        <v>0</v>
      </c>
      <c r="F453" s="18">
        <f t="shared" ref="F453:Q453" si="192">ROUND(IF(+F412&gt;76200,+F370*0.02,+F370*0.09),0)</f>
        <v>1052</v>
      </c>
      <c r="G453" s="18">
        <f t="shared" si="192"/>
        <v>1052</v>
      </c>
      <c r="H453" s="18">
        <f t="shared" si="192"/>
        <v>1052</v>
      </c>
      <c r="I453" s="18">
        <f t="shared" si="192"/>
        <v>1052</v>
      </c>
      <c r="J453" s="18">
        <f t="shared" si="192"/>
        <v>1096</v>
      </c>
      <c r="K453" s="18">
        <f t="shared" si="192"/>
        <v>1096</v>
      </c>
      <c r="L453" s="18">
        <f t="shared" si="192"/>
        <v>244</v>
      </c>
      <c r="M453" s="18">
        <f t="shared" si="192"/>
        <v>244</v>
      </c>
      <c r="N453" s="18">
        <f t="shared" si="192"/>
        <v>244</v>
      </c>
      <c r="O453" s="18">
        <f t="shared" si="192"/>
        <v>244</v>
      </c>
      <c r="P453" s="18">
        <f t="shared" si="192"/>
        <v>244</v>
      </c>
      <c r="Q453" s="18">
        <f t="shared" si="192"/>
        <v>244</v>
      </c>
      <c r="R453" s="248">
        <f t="shared" si="179"/>
        <v>7864</v>
      </c>
      <c r="S453" s="248">
        <f t="shared" si="167"/>
        <v>8459</v>
      </c>
      <c r="T453" s="248">
        <f t="shared" si="168"/>
        <v>8789</v>
      </c>
    </row>
    <row r="454" spans="2:20" s="18" customFormat="1" x14ac:dyDescent="0.2">
      <c r="B454" s="318"/>
      <c r="C454" s="405" t="s">
        <v>499</v>
      </c>
      <c r="D454" s="432">
        <f t="shared" si="189"/>
        <v>0</v>
      </c>
      <c r="E454" s="432">
        <f t="shared" si="189"/>
        <v>0</v>
      </c>
      <c r="F454" s="18">
        <f t="shared" ref="F454:Q454" si="193">ROUND(IF(+F413&gt;76200,+F371*0.02,+F371*0.09),0)</f>
        <v>835</v>
      </c>
      <c r="G454" s="18">
        <f t="shared" si="193"/>
        <v>835</v>
      </c>
      <c r="H454" s="18">
        <f t="shared" si="193"/>
        <v>835</v>
      </c>
      <c r="I454" s="18">
        <f t="shared" si="193"/>
        <v>835</v>
      </c>
      <c r="J454" s="18">
        <f t="shared" si="193"/>
        <v>871</v>
      </c>
      <c r="K454" s="18">
        <f t="shared" si="193"/>
        <v>871</v>
      </c>
      <c r="L454" s="18">
        <f t="shared" si="193"/>
        <v>871</v>
      </c>
      <c r="M454" s="18">
        <f t="shared" si="193"/>
        <v>871</v>
      </c>
      <c r="N454" s="18">
        <f t="shared" si="193"/>
        <v>193</v>
      </c>
      <c r="O454" s="18">
        <f t="shared" si="193"/>
        <v>193</v>
      </c>
      <c r="P454" s="18">
        <f t="shared" si="193"/>
        <v>193</v>
      </c>
      <c r="Q454" s="18">
        <f t="shared" si="193"/>
        <v>193</v>
      </c>
      <c r="R454" s="248">
        <f t="shared" si="179"/>
        <v>7596</v>
      </c>
      <c r="S454" s="248">
        <f t="shared" si="167"/>
        <v>7842</v>
      </c>
      <c r="T454" s="248">
        <f t="shared" si="168"/>
        <v>8147</v>
      </c>
    </row>
    <row r="455" spans="2:20" s="18" customFormat="1" x14ac:dyDescent="0.2">
      <c r="B455" s="318"/>
      <c r="C455" s="405" t="s">
        <v>500</v>
      </c>
      <c r="D455" s="432">
        <f t="shared" si="189"/>
        <v>0</v>
      </c>
      <c r="E455" s="432">
        <f t="shared" si="189"/>
        <v>0</v>
      </c>
      <c r="F455" s="18">
        <f t="shared" ref="F455:Q455" si="194">ROUND(IF(+F414&gt;76200,+F372*0.02,+F372*0.09),0)</f>
        <v>835</v>
      </c>
      <c r="G455" s="18">
        <f t="shared" si="194"/>
        <v>835</v>
      </c>
      <c r="H455" s="18">
        <f t="shared" si="194"/>
        <v>835</v>
      </c>
      <c r="I455" s="18">
        <f t="shared" si="194"/>
        <v>835</v>
      </c>
      <c r="J455" s="18">
        <f t="shared" si="194"/>
        <v>871</v>
      </c>
      <c r="K455" s="18">
        <f t="shared" si="194"/>
        <v>871</v>
      </c>
      <c r="L455" s="18">
        <f t="shared" si="194"/>
        <v>871</v>
      </c>
      <c r="M455" s="18">
        <f t="shared" si="194"/>
        <v>871</v>
      </c>
      <c r="N455" s="18">
        <f t="shared" si="194"/>
        <v>193</v>
      </c>
      <c r="O455" s="18">
        <f t="shared" si="194"/>
        <v>193</v>
      </c>
      <c r="P455" s="18">
        <f t="shared" si="194"/>
        <v>193</v>
      </c>
      <c r="Q455" s="18">
        <f t="shared" si="194"/>
        <v>193</v>
      </c>
      <c r="R455" s="248">
        <f t="shared" si="179"/>
        <v>7596</v>
      </c>
      <c r="S455" s="248">
        <f t="shared" si="167"/>
        <v>7842</v>
      </c>
      <c r="T455" s="248">
        <f t="shared" si="168"/>
        <v>8147</v>
      </c>
    </row>
    <row r="456" spans="2:20" s="18" customFormat="1" x14ac:dyDescent="0.2">
      <c r="B456" s="318"/>
      <c r="C456" s="405" t="s">
        <v>501</v>
      </c>
      <c r="D456" s="432">
        <f t="shared" si="189"/>
        <v>0</v>
      </c>
      <c r="E456" s="432">
        <f t="shared" si="189"/>
        <v>0</v>
      </c>
      <c r="F456" s="18">
        <f t="shared" ref="F456:Q456" si="195">ROUND(IF(+F415&gt;76200,+F373*0.02,+F373*0.09),0)</f>
        <v>835</v>
      </c>
      <c r="G456" s="18">
        <f t="shared" si="195"/>
        <v>835</v>
      </c>
      <c r="H456" s="18">
        <f t="shared" si="195"/>
        <v>835</v>
      </c>
      <c r="I456" s="18">
        <f t="shared" si="195"/>
        <v>835</v>
      </c>
      <c r="J456" s="18">
        <f t="shared" si="195"/>
        <v>871</v>
      </c>
      <c r="K456" s="18">
        <f t="shared" si="195"/>
        <v>871</v>
      </c>
      <c r="L456" s="18">
        <f t="shared" si="195"/>
        <v>871</v>
      </c>
      <c r="M456" s="18">
        <f t="shared" si="195"/>
        <v>871</v>
      </c>
      <c r="N456" s="18">
        <f t="shared" si="195"/>
        <v>193</v>
      </c>
      <c r="O456" s="18">
        <f t="shared" si="195"/>
        <v>193</v>
      </c>
      <c r="P456" s="18">
        <f t="shared" si="195"/>
        <v>193</v>
      </c>
      <c r="Q456" s="18">
        <f t="shared" si="195"/>
        <v>193</v>
      </c>
      <c r="R456" s="248">
        <f t="shared" si="179"/>
        <v>7596</v>
      </c>
      <c r="S456" s="248">
        <f t="shared" si="167"/>
        <v>7842</v>
      </c>
      <c r="T456" s="248">
        <f t="shared" si="168"/>
        <v>8147</v>
      </c>
    </row>
    <row r="457" spans="2:20" s="18" customFormat="1" x14ac:dyDescent="0.2">
      <c r="B457" s="318"/>
      <c r="C457" s="405" t="s">
        <v>502</v>
      </c>
      <c r="D457" s="432">
        <f t="shared" si="189"/>
        <v>0</v>
      </c>
      <c r="E457" s="432">
        <f t="shared" si="189"/>
        <v>0</v>
      </c>
      <c r="F457" s="18">
        <f t="shared" ref="F457:Q457" si="196">ROUND(IF(+F416&gt;76200,+F374*0.02,+F374*0.09),0)</f>
        <v>835</v>
      </c>
      <c r="G457" s="18">
        <f t="shared" si="196"/>
        <v>835</v>
      </c>
      <c r="H457" s="18">
        <f t="shared" si="196"/>
        <v>835</v>
      </c>
      <c r="I457" s="18">
        <f t="shared" si="196"/>
        <v>835</v>
      </c>
      <c r="J457" s="18">
        <f t="shared" si="196"/>
        <v>871</v>
      </c>
      <c r="K457" s="18">
        <f t="shared" si="196"/>
        <v>871</v>
      </c>
      <c r="L457" s="18">
        <f t="shared" si="196"/>
        <v>871</v>
      </c>
      <c r="M457" s="18">
        <f t="shared" si="196"/>
        <v>871</v>
      </c>
      <c r="N457" s="18">
        <f t="shared" si="196"/>
        <v>193</v>
      </c>
      <c r="O457" s="18">
        <f t="shared" si="196"/>
        <v>193</v>
      </c>
      <c r="P457" s="18">
        <f t="shared" si="196"/>
        <v>193</v>
      </c>
      <c r="Q457" s="18">
        <f t="shared" si="196"/>
        <v>193</v>
      </c>
      <c r="R457" s="248">
        <f t="shared" si="179"/>
        <v>7596</v>
      </c>
      <c r="S457" s="248">
        <f t="shared" si="167"/>
        <v>7842</v>
      </c>
      <c r="T457" s="248">
        <f t="shared" si="168"/>
        <v>8147</v>
      </c>
    </row>
    <row r="458" spans="2:20" s="18" customFormat="1" x14ac:dyDescent="0.2">
      <c r="B458" s="318"/>
      <c r="C458" s="405" t="s">
        <v>503</v>
      </c>
      <c r="D458" s="432">
        <f t="shared" si="189"/>
        <v>0</v>
      </c>
      <c r="E458" s="432">
        <f t="shared" si="189"/>
        <v>0</v>
      </c>
      <c r="F458" s="18">
        <f t="shared" ref="F458:Q458" si="197">ROUND(IF(+F417&gt;76200,+F375*0.02,+F375*0.09),0)</f>
        <v>835</v>
      </c>
      <c r="G458" s="18">
        <f t="shared" si="197"/>
        <v>835</v>
      </c>
      <c r="H458" s="18">
        <f t="shared" si="197"/>
        <v>835</v>
      </c>
      <c r="I458" s="18">
        <f t="shared" si="197"/>
        <v>835</v>
      </c>
      <c r="J458" s="18">
        <f t="shared" si="197"/>
        <v>871</v>
      </c>
      <c r="K458" s="18">
        <f t="shared" si="197"/>
        <v>871</v>
      </c>
      <c r="L458" s="18">
        <f t="shared" si="197"/>
        <v>871</v>
      </c>
      <c r="M458" s="18">
        <f t="shared" si="197"/>
        <v>871</v>
      </c>
      <c r="N458" s="18">
        <f t="shared" si="197"/>
        <v>193</v>
      </c>
      <c r="O458" s="18">
        <f t="shared" si="197"/>
        <v>193</v>
      </c>
      <c r="P458" s="18">
        <f t="shared" si="197"/>
        <v>193</v>
      </c>
      <c r="Q458" s="18">
        <f t="shared" si="197"/>
        <v>193</v>
      </c>
      <c r="R458" s="248">
        <f t="shared" si="179"/>
        <v>7596</v>
      </c>
      <c r="S458" s="248">
        <f t="shared" si="167"/>
        <v>7842</v>
      </c>
      <c r="T458" s="248">
        <f t="shared" si="168"/>
        <v>8147</v>
      </c>
    </row>
    <row r="459" spans="2:20" s="18" customFormat="1" x14ac:dyDescent="0.2">
      <c r="B459" s="318"/>
      <c r="C459" s="405" t="s">
        <v>504</v>
      </c>
      <c r="D459" s="432">
        <f t="shared" si="189"/>
        <v>0</v>
      </c>
      <c r="E459" s="432">
        <f t="shared" si="189"/>
        <v>0</v>
      </c>
      <c r="F459" s="18">
        <f t="shared" ref="F459:Q459" si="198">ROUND(IF(+F418&gt;76200,+F376*0.02,+F376*0.09),0)</f>
        <v>835</v>
      </c>
      <c r="G459" s="18">
        <f t="shared" si="198"/>
        <v>835</v>
      </c>
      <c r="H459" s="18">
        <f t="shared" si="198"/>
        <v>835</v>
      </c>
      <c r="I459" s="18">
        <f t="shared" si="198"/>
        <v>835</v>
      </c>
      <c r="J459" s="18">
        <f t="shared" si="198"/>
        <v>871</v>
      </c>
      <c r="K459" s="18">
        <f t="shared" si="198"/>
        <v>871</v>
      </c>
      <c r="L459" s="18">
        <f t="shared" si="198"/>
        <v>871</v>
      </c>
      <c r="M459" s="18">
        <f t="shared" si="198"/>
        <v>871</v>
      </c>
      <c r="N459" s="18">
        <f t="shared" si="198"/>
        <v>193</v>
      </c>
      <c r="O459" s="18">
        <f t="shared" si="198"/>
        <v>193</v>
      </c>
      <c r="P459" s="18">
        <f t="shared" si="198"/>
        <v>193</v>
      </c>
      <c r="Q459" s="18">
        <f t="shared" si="198"/>
        <v>193</v>
      </c>
      <c r="R459" s="248">
        <f t="shared" si="179"/>
        <v>7596</v>
      </c>
      <c r="S459" s="248">
        <f t="shared" si="167"/>
        <v>7842</v>
      </c>
      <c r="T459" s="248">
        <f t="shared" si="168"/>
        <v>8147</v>
      </c>
    </row>
    <row r="460" spans="2:20" s="18" customFormat="1" x14ac:dyDescent="0.2">
      <c r="B460" s="318"/>
      <c r="C460" s="405" t="s">
        <v>505</v>
      </c>
      <c r="D460" s="432">
        <f t="shared" si="189"/>
        <v>0</v>
      </c>
      <c r="E460" s="432">
        <f t="shared" si="189"/>
        <v>0</v>
      </c>
      <c r="F460" s="18">
        <f t="shared" ref="F460:Q460" si="199">ROUND(IF(+F419&gt;76200,+F377*0.02,+F377*0.09),0)</f>
        <v>835</v>
      </c>
      <c r="G460" s="18">
        <f t="shared" si="199"/>
        <v>835</v>
      </c>
      <c r="H460" s="18">
        <f t="shared" si="199"/>
        <v>835</v>
      </c>
      <c r="I460" s="18">
        <f t="shared" si="199"/>
        <v>835</v>
      </c>
      <c r="J460" s="18">
        <f t="shared" si="199"/>
        <v>871</v>
      </c>
      <c r="K460" s="18">
        <f t="shared" si="199"/>
        <v>871</v>
      </c>
      <c r="L460" s="18">
        <f t="shared" si="199"/>
        <v>871</v>
      </c>
      <c r="M460" s="18">
        <f t="shared" si="199"/>
        <v>871</v>
      </c>
      <c r="N460" s="18">
        <f t="shared" si="199"/>
        <v>193</v>
      </c>
      <c r="O460" s="18">
        <f t="shared" si="199"/>
        <v>193</v>
      </c>
      <c r="P460" s="18">
        <f t="shared" si="199"/>
        <v>193</v>
      </c>
      <c r="Q460" s="18">
        <f t="shared" si="199"/>
        <v>193</v>
      </c>
      <c r="R460" s="248">
        <f t="shared" si="179"/>
        <v>7596</v>
      </c>
      <c r="S460" s="248">
        <f t="shared" si="167"/>
        <v>7842</v>
      </c>
      <c r="T460" s="248">
        <f t="shared" si="168"/>
        <v>8147</v>
      </c>
    </row>
    <row r="461" spans="2:20" s="18" customFormat="1" x14ac:dyDescent="0.2">
      <c r="B461" s="318"/>
      <c r="C461" s="405" t="s">
        <v>506</v>
      </c>
      <c r="D461" s="432">
        <f t="shared" si="189"/>
        <v>0</v>
      </c>
      <c r="E461" s="432">
        <f t="shared" si="189"/>
        <v>0</v>
      </c>
      <c r="F461" s="18">
        <f t="shared" ref="F461:Q461" si="200">ROUND(IF(+F420&gt;76200,+F378*0.02,+F378*0.09),0)</f>
        <v>835</v>
      </c>
      <c r="G461" s="18">
        <f t="shared" si="200"/>
        <v>835</v>
      </c>
      <c r="H461" s="18">
        <f t="shared" si="200"/>
        <v>835</v>
      </c>
      <c r="I461" s="18">
        <f t="shared" si="200"/>
        <v>835</v>
      </c>
      <c r="J461" s="18">
        <f t="shared" si="200"/>
        <v>871</v>
      </c>
      <c r="K461" s="18">
        <f t="shared" si="200"/>
        <v>871</v>
      </c>
      <c r="L461" s="18">
        <f t="shared" si="200"/>
        <v>871</v>
      </c>
      <c r="M461" s="18">
        <f t="shared" si="200"/>
        <v>871</v>
      </c>
      <c r="N461" s="18">
        <f t="shared" si="200"/>
        <v>193</v>
      </c>
      <c r="O461" s="18">
        <f t="shared" si="200"/>
        <v>193</v>
      </c>
      <c r="P461" s="18">
        <f t="shared" si="200"/>
        <v>193</v>
      </c>
      <c r="Q461" s="18">
        <f t="shared" si="200"/>
        <v>193</v>
      </c>
      <c r="R461" s="248">
        <f t="shared" si="179"/>
        <v>7596</v>
      </c>
      <c r="S461" s="248">
        <f t="shared" si="167"/>
        <v>7842</v>
      </c>
      <c r="T461" s="248">
        <f t="shared" si="168"/>
        <v>8147</v>
      </c>
    </row>
    <row r="462" spans="2:20" s="18" customFormat="1" x14ac:dyDescent="0.2">
      <c r="B462" s="318"/>
      <c r="C462" s="405" t="s">
        <v>507</v>
      </c>
      <c r="D462" s="432">
        <f t="shared" si="189"/>
        <v>0</v>
      </c>
      <c r="E462" s="432">
        <f t="shared" si="189"/>
        <v>0</v>
      </c>
      <c r="F462" s="18">
        <f t="shared" ref="F462:Q462" si="201">ROUND(IF(+F421&gt;76200,+F379*0.02,+F379*0.09),0)</f>
        <v>835</v>
      </c>
      <c r="G462" s="18">
        <f t="shared" si="201"/>
        <v>835</v>
      </c>
      <c r="H462" s="18">
        <f t="shared" si="201"/>
        <v>835</v>
      </c>
      <c r="I462" s="18">
        <f t="shared" si="201"/>
        <v>835</v>
      </c>
      <c r="J462" s="18">
        <f t="shared" si="201"/>
        <v>871</v>
      </c>
      <c r="K462" s="18">
        <f t="shared" si="201"/>
        <v>871</v>
      </c>
      <c r="L462" s="18">
        <f t="shared" si="201"/>
        <v>871</v>
      </c>
      <c r="M462" s="18">
        <f t="shared" si="201"/>
        <v>871</v>
      </c>
      <c r="N462" s="18">
        <f t="shared" si="201"/>
        <v>193</v>
      </c>
      <c r="O462" s="18">
        <f t="shared" si="201"/>
        <v>193</v>
      </c>
      <c r="P462" s="18">
        <f t="shared" si="201"/>
        <v>193</v>
      </c>
      <c r="Q462" s="18">
        <f t="shared" si="201"/>
        <v>193</v>
      </c>
      <c r="R462" s="248">
        <f t="shared" si="179"/>
        <v>7596</v>
      </c>
      <c r="S462" s="248">
        <f t="shared" si="167"/>
        <v>7842</v>
      </c>
      <c r="T462" s="248">
        <f t="shared" si="168"/>
        <v>8147</v>
      </c>
    </row>
    <row r="463" spans="2:20" s="18" customFormat="1" x14ac:dyDescent="0.2">
      <c r="B463" s="318"/>
      <c r="C463" s="405" t="s">
        <v>508</v>
      </c>
      <c r="D463" s="432">
        <f t="shared" si="189"/>
        <v>0</v>
      </c>
      <c r="E463" s="432">
        <f t="shared" si="189"/>
        <v>0</v>
      </c>
      <c r="F463" s="18">
        <f t="shared" ref="F463:Q463" si="202">ROUND(IF(+F422&gt;76200,+F380*0.02,+F380*0.09),0)</f>
        <v>835</v>
      </c>
      <c r="G463" s="18">
        <f t="shared" si="202"/>
        <v>835</v>
      </c>
      <c r="H463" s="18">
        <f t="shared" si="202"/>
        <v>835</v>
      </c>
      <c r="I463" s="18">
        <f t="shared" si="202"/>
        <v>835</v>
      </c>
      <c r="J463" s="18">
        <f t="shared" si="202"/>
        <v>871</v>
      </c>
      <c r="K463" s="18">
        <f t="shared" si="202"/>
        <v>871</v>
      </c>
      <c r="L463" s="18">
        <f t="shared" si="202"/>
        <v>871</v>
      </c>
      <c r="M463" s="18">
        <f t="shared" si="202"/>
        <v>871</v>
      </c>
      <c r="N463" s="18">
        <f t="shared" si="202"/>
        <v>193</v>
      </c>
      <c r="O463" s="18">
        <f t="shared" si="202"/>
        <v>193</v>
      </c>
      <c r="P463" s="18">
        <f t="shared" si="202"/>
        <v>193</v>
      </c>
      <c r="Q463" s="18">
        <f t="shared" si="202"/>
        <v>193</v>
      </c>
      <c r="R463" s="248">
        <f t="shared" si="179"/>
        <v>7596</v>
      </c>
      <c r="S463" s="248">
        <f t="shared" si="167"/>
        <v>7842</v>
      </c>
      <c r="T463" s="248">
        <f t="shared" si="168"/>
        <v>8147</v>
      </c>
    </row>
    <row r="464" spans="2:20" s="18" customFormat="1" x14ac:dyDescent="0.2">
      <c r="B464" s="318"/>
      <c r="C464" s="405" t="s">
        <v>509</v>
      </c>
      <c r="D464" s="432">
        <f t="shared" si="189"/>
        <v>0</v>
      </c>
      <c r="E464" s="432">
        <f t="shared" si="189"/>
        <v>0</v>
      </c>
      <c r="F464" s="18">
        <f t="shared" ref="F464:Q464" si="203">ROUND(IF(+F423&gt;76200,+F381*0.02,+F381*0.09),0)</f>
        <v>525</v>
      </c>
      <c r="G464" s="18">
        <f t="shared" si="203"/>
        <v>525</v>
      </c>
      <c r="H464" s="18">
        <f t="shared" si="203"/>
        <v>525</v>
      </c>
      <c r="I464" s="18">
        <f t="shared" si="203"/>
        <v>525</v>
      </c>
      <c r="J464" s="18">
        <f t="shared" si="203"/>
        <v>547</v>
      </c>
      <c r="K464" s="18">
        <f t="shared" si="203"/>
        <v>547</v>
      </c>
      <c r="L464" s="18">
        <f t="shared" si="203"/>
        <v>547</v>
      </c>
      <c r="M464" s="18">
        <f t="shared" si="203"/>
        <v>547</v>
      </c>
      <c r="N464" s="18">
        <f t="shared" si="203"/>
        <v>547</v>
      </c>
      <c r="O464" s="18">
        <f t="shared" si="203"/>
        <v>547</v>
      </c>
      <c r="P464" s="18">
        <f t="shared" si="203"/>
        <v>547</v>
      </c>
      <c r="Q464" s="18">
        <f t="shared" si="203"/>
        <v>547</v>
      </c>
      <c r="R464" s="248">
        <f t="shared" si="179"/>
        <v>6476</v>
      </c>
      <c r="S464" s="248">
        <f t="shared" si="167"/>
        <v>6737</v>
      </c>
      <c r="T464" s="248">
        <f t="shared" si="168"/>
        <v>7007</v>
      </c>
    </row>
    <row r="465" spans="2:20" s="18" customFormat="1" x14ac:dyDescent="0.2">
      <c r="B465" s="318"/>
      <c r="C465" s="405" t="s">
        <v>510</v>
      </c>
      <c r="D465" s="432">
        <f t="shared" si="189"/>
        <v>0</v>
      </c>
      <c r="E465" s="432">
        <f t="shared" si="189"/>
        <v>0</v>
      </c>
      <c r="F465" s="18">
        <f t="shared" ref="F465:Q465" si="204">ROUND(IF(+F424&gt;76200,+F382*0.02,+F382*0.09),0)</f>
        <v>525</v>
      </c>
      <c r="G465" s="18">
        <f t="shared" si="204"/>
        <v>525</v>
      </c>
      <c r="H465" s="18">
        <f t="shared" si="204"/>
        <v>525</v>
      </c>
      <c r="I465" s="18">
        <f t="shared" si="204"/>
        <v>525</v>
      </c>
      <c r="J465" s="18">
        <f t="shared" si="204"/>
        <v>547</v>
      </c>
      <c r="K465" s="18">
        <f t="shared" si="204"/>
        <v>547</v>
      </c>
      <c r="L465" s="18">
        <f t="shared" si="204"/>
        <v>547</v>
      </c>
      <c r="M465" s="18">
        <f t="shared" si="204"/>
        <v>547</v>
      </c>
      <c r="N465" s="18">
        <f t="shared" si="204"/>
        <v>547</v>
      </c>
      <c r="O465" s="18">
        <f t="shared" si="204"/>
        <v>547</v>
      </c>
      <c r="P465" s="18">
        <f t="shared" si="204"/>
        <v>547</v>
      </c>
      <c r="Q465" s="18">
        <f t="shared" si="204"/>
        <v>547</v>
      </c>
      <c r="R465" s="248">
        <f t="shared" si="179"/>
        <v>6476</v>
      </c>
      <c r="S465" s="248">
        <f t="shared" si="167"/>
        <v>6737</v>
      </c>
      <c r="T465" s="248">
        <f t="shared" si="168"/>
        <v>7007</v>
      </c>
    </row>
    <row r="466" spans="2:20" s="18" customFormat="1" x14ac:dyDescent="0.2">
      <c r="B466" s="318"/>
      <c r="C466" s="405" t="s">
        <v>511</v>
      </c>
      <c r="D466" s="432">
        <f t="shared" si="189"/>
        <v>0</v>
      </c>
      <c r="E466" s="432">
        <f t="shared" si="189"/>
        <v>0</v>
      </c>
      <c r="F466" s="18">
        <f t="shared" ref="F466:Q466" si="205">ROUND(IF(+F425&gt;76200,+F383*0.02,+F383*0.09),0)</f>
        <v>525</v>
      </c>
      <c r="G466" s="18">
        <f t="shared" si="205"/>
        <v>525</v>
      </c>
      <c r="H466" s="18">
        <f t="shared" si="205"/>
        <v>525</v>
      </c>
      <c r="I466" s="18">
        <f t="shared" si="205"/>
        <v>525</v>
      </c>
      <c r="J466" s="18">
        <f t="shared" si="205"/>
        <v>547</v>
      </c>
      <c r="K466" s="18">
        <f t="shared" si="205"/>
        <v>547</v>
      </c>
      <c r="L466" s="18">
        <f t="shared" si="205"/>
        <v>547</v>
      </c>
      <c r="M466" s="18">
        <f t="shared" si="205"/>
        <v>547</v>
      </c>
      <c r="N466" s="18">
        <f t="shared" si="205"/>
        <v>547</v>
      </c>
      <c r="O466" s="18">
        <f t="shared" si="205"/>
        <v>547</v>
      </c>
      <c r="P466" s="18">
        <f t="shared" si="205"/>
        <v>547</v>
      </c>
      <c r="Q466" s="18">
        <f t="shared" si="205"/>
        <v>547</v>
      </c>
      <c r="R466" s="248">
        <f t="shared" si="179"/>
        <v>6476</v>
      </c>
      <c r="S466" s="248">
        <f t="shared" si="167"/>
        <v>6737</v>
      </c>
      <c r="T466" s="248">
        <f t="shared" si="168"/>
        <v>7007</v>
      </c>
    </row>
    <row r="467" spans="2:20" s="18" customFormat="1" x14ac:dyDescent="0.2">
      <c r="B467" s="318"/>
      <c r="C467" s="405" t="s">
        <v>512</v>
      </c>
      <c r="D467" s="432">
        <f t="shared" si="189"/>
        <v>0</v>
      </c>
      <c r="E467" s="432">
        <f t="shared" si="189"/>
        <v>0</v>
      </c>
      <c r="F467" s="18">
        <f t="shared" ref="F467:Q467" si="206">ROUND(IF(+F426&gt;76200,+F384*0.02,+F384*0.09),0)</f>
        <v>525</v>
      </c>
      <c r="G467" s="18">
        <f t="shared" si="206"/>
        <v>525</v>
      </c>
      <c r="H467" s="18">
        <f t="shared" si="206"/>
        <v>525</v>
      </c>
      <c r="I467" s="18">
        <f t="shared" si="206"/>
        <v>525</v>
      </c>
      <c r="J467" s="18">
        <f t="shared" si="206"/>
        <v>547</v>
      </c>
      <c r="K467" s="18">
        <f t="shared" si="206"/>
        <v>547</v>
      </c>
      <c r="L467" s="18">
        <f t="shared" si="206"/>
        <v>547</v>
      </c>
      <c r="M467" s="18">
        <f t="shared" si="206"/>
        <v>547</v>
      </c>
      <c r="N467" s="18">
        <f t="shared" si="206"/>
        <v>547</v>
      </c>
      <c r="O467" s="18">
        <f t="shared" si="206"/>
        <v>547</v>
      </c>
      <c r="P467" s="18">
        <f t="shared" si="206"/>
        <v>547</v>
      </c>
      <c r="Q467" s="18">
        <f t="shared" si="206"/>
        <v>547</v>
      </c>
      <c r="R467" s="248">
        <f t="shared" si="179"/>
        <v>6476</v>
      </c>
      <c r="S467" s="248">
        <f t="shared" si="167"/>
        <v>6737</v>
      </c>
      <c r="T467" s="248">
        <f t="shared" si="168"/>
        <v>7007</v>
      </c>
    </row>
    <row r="468" spans="2:20" s="18" customFormat="1" x14ac:dyDescent="0.2">
      <c r="B468" s="318"/>
      <c r="C468" s="405" t="s">
        <v>513</v>
      </c>
      <c r="D468" s="432">
        <f t="shared" si="189"/>
        <v>0</v>
      </c>
      <c r="E468" s="432">
        <f t="shared" si="189"/>
        <v>0</v>
      </c>
      <c r="F468" s="18">
        <f t="shared" ref="F468:Q468" si="207">ROUND(IF(+F427&gt;76200,+F385*0.02,+F385*0.09),0)</f>
        <v>525</v>
      </c>
      <c r="G468" s="18">
        <f t="shared" si="207"/>
        <v>525</v>
      </c>
      <c r="H468" s="18">
        <f t="shared" si="207"/>
        <v>525</v>
      </c>
      <c r="I468" s="18">
        <f t="shared" si="207"/>
        <v>525</v>
      </c>
      <c r="J468" s="18">
        <f t="shared" si="207"/>
        <v>547</v>
      </c>
      <c r="K468" s="18">
        <f t="shared" si="207"/>
        <v>547</v>
      </c>
      <c r="L468" s="18">
        <f t="shared" si="207"/>
        <v>547</v>
      </c>
      <c r="M468" s="18">
        <f t="shared" si="207"/>
        <v>547</v>
      </c>
      <c r="N468" s="18">
        <f t="shared" si="207"/>
        <v>547</v>
      </c>
      <c r="O468" s="18">
        <f t="shared" si="207"/>
        <v>547</v>
      </c>
      <c r="P468" s="18">
        <f t="shared" si="207"/>
        <v>547</v>
      </c>
      <c r="Q468" s="18">
        <f t="shared" si="207"/>
        <v>547</v>
      </c>
      <c r="R468" s="248">
        <f t="shared" si="179"/>
        <v>6476</v>
      </c>
      <c r="S468" s="248">
        <f t="shared" si="167"/>
        <v>6737</v>
      </c>
      <c r="T468" s="248">
        <f t="shared" si="168"/>
        <v>7007</v>
      </c>
    </row>
    <row r="469" spans="2:20" s="18" customFormat="1" x14ac:dyDescent="0.2">
      <c r="B469" s="318"/>
      <c r="C469" s="405" t="s">
        <v>514</v>
      </c>
      <c r="D469" s="432">
        <f t="shared" si="189"/>
        <v>0</v>
      </c>
      <c r="E469" s="432">
        <f t="shared" si="189"/>
        <v>0</v>
      </c>
      <c r="F469" s="18">
        <f t="shared" ref="F469:Q469" si="208">ROUND(IF(+F428&gt;76200,+F386*0.02,+F386*0.09),0)</f>
        <v>325</v>
      </c>
      <c r="G469" s="18">
        <f t="shared" si="208"/>
        <v>325</v>
      </c>
      <c r="H469" s="18">
        <f t="shared" si="208"/>
        <v>325</v>
      </c>
      <c r="I469" s="18">
        <f t="shared" si="208"/>
        <v>325</v>
      </c>
      <c r="J469" s="18">
        <f t="shared" si="208"/>
        <v>339</v>
      </c>
      <c r="K469" s="18">
        <f t="shared" si="208"/>
        <v>339</v>
      </c>
      <c r="L469" s="18">
        <f t="shared" si="208"/>
        <v>339</v>
      </c>
      <c r="M469" s="18">
        <f t="shared" si="208"/>
        <v>339</v>
      </c>
      <c r="N469" s="18">
        <f t="shared" si="208"/>
        <v>339</v>
      </c>
      <c r="O469" s="18">
        <f t="shared" si="208"/>
        <v>339</v>
      </c>
      <c r="P469" s="18">
        <f t="shared" si="208"/>
        <v>339</v>
      </c>
      <c r="Q469" s="18">
        <f t="shared" si="208"/>
        <v>339</v>
      </c>
      <c r="R469" s="248">
        <f t="shared" si="179"/>
        <v>4012</v>
      </c>
      <c r="S469" s="248">
        <f t="shared" si="167"/>
        <v>4169</v>
      </c>
      <c r="T469" s="248">
        <f t="shared" si="168"/>
        <v>4336</v>
      </c>
    </row>
    <row r="470" spans="2:20" s="18" customFormat="1" x14ac:dyDescent="0.2">
      <c r="B470" s="318"/>
      <c r="C470" s="18" t="s">
        <v>90</v>
      </c>
      <c r="D470" s="432">
        <f t="shared" si="189"/>
        <v>44358.48</v>
      </c>
      <c r="E470" s="432">
        <f t="shared" si="189"/>
        <v>55989.66</v>
      </c>
      <c r="F470" s="18">
        <f>ROUND(+F23*0.09,0)</f>
        <v>0</v>
      </c>
      <c r="G470" s="18">
        <f t="shared" ref="G470:T470" si="209">ROUND(+G23*0.09,0)</f>
        <v>0</v>
      </c>
      <c r="H470" s="18">
        <f t="shared" si="209"/>
        <v>0</v>
      </c>
      <c r="I470" s="18">
        <f t="shared" si="209"/>
        <v>0</v>
      </c>
      <c r="J470" s="18">
        <f t="shared" si="209"/>
        <v>0</v>
      </c>
      <c r="K470" s="18">
        <f t="shared" si="209"/>
        <v>0</v>
      </c>
      <c r="L470" s="18">
        <f t="shared" si="209"/>
        <v>0</v>
      </c>
      <c r="M470" s="18">
        <f t="shared" si="209"/>
        <v>0</v>
      </c>
      <c r="N470" s="18">
        <f t="shared" si="209"/>
        <v>0</v>
      </c>
      <c r="O470" s="18">
        <f t="shared" si="209"/>
        <v>0</v>
      </c>
      <c r="P470" s="18">
        <f t="shared" si="209"/>
        <v>0</v>
      </c>
      <c r="Q470" s="18">
        <f t="shared" si="209"/>
        <v>0</v>
      </c>
      <c r="R470" s="248">
        <f>SUM(F470:Q470)</f>
        <v>0</v>
      </c>
      <c r="S470" s="248">
        <f t="shared" si="209"/>
        <v>0</v>
      </c>
      <c r="T470" s="248">
        <f t="shared" si="209"/>
        <v>0</v>
      </c>
    </row>
    <row r="471" spans="2:20" s="398" customFormat="1" x14ac:dyDescent="0.2">
      <c r="B471" s="404"/>
      <c r="C471" s="398" t="s">
        <v>130</v>
      </c>
      <c r="D471" s="392">
        <v>0</v>
      </c>
      <c r="E471" s="392">
        <v>0</v>
      </c>
      <c r="F471" s="417">
        <v>40000</v>
      </c>
      <c r="G471" s="417">
        <v>0</v>
      </c>
      <c r="H471" s="417">
        <v>0</v>
      </c>
      <c r="I471" s="417">
        <v>0</v>
      </c>
      <c r="J471" s="417">
        <v>0</v>
      </c>
      <c r="K471" s="417">
        <v>0</v>
      </c>
      <c r="L471" s="417">
        <v>0</v>
      </c>
      <c r="M471" s="417">
        <v>0</v>
      </c>
      <c r="N471" s="417">
        <v>0</v>
      </c>
      <c r="O471" s="417">
        <v>0</v>
      </c>
      <c r="P471" s="417">
        <v>0</v>
      </c>
      <c r="Q471" s="417">
        <v>0</v>
      </c>
      <c r="R471" s="392">
        <f>SUM(F471:Q471)</f>
        <v>40000</v>
      </c>
      <c r="S471" s="392">
        <v>40000</v>
      </c>
      <c r="T471" s="392">
        <v>40000</v>
      </c>
    </row>
    <row r="472" spans="2:20" x14ac:dyDescent="0.2">
      <c r="C472" t="s">
        <v>79</v>
      </c>
      <c r="D472" s="442">
        <f>SUM(D431:D471)</f>
        <v>44358.48</v>
      </c>
      <c r="E472" s="442">
        <f>SUM(E431:E471)</f>
        <v>55989.66</v>
      </c>
      <c r="F472" s="41">
        <f>SUM(F431:F471)</f>
        <v>71095</v>
      </c>
      <c r="G472" s="41">
        <f t="shared" ref="G472:T472" si="210">SUM(G431:G471)</f>
        <v>31095</v>
      </c>
      <c r="H472" s="41">
        <f t="shared" si="210"/>
        <v>31095</v>
      </c>
      <c r="I472" s="41">
        <f t="shared" si="210"/>
        <v>31095</v>
      </c>
      <c r="J472" s="41">
        <f t="shared" si="210"/>
        <v>26343</v>
      </c>
      <c r="K472" s="41">
        <f t="shared" si="210"/>
        <v>26343</v>
      </c>
      <c r="L472" s="41">
        <f t="shared" si="210"/>
        <v>23787</v>
      </c>
      <c r="M472" s="41">
        <f t="shared" si="210"/>
        <v>23787</v>
      </c>
      <c r="N472" s="41">
        <f t="shared" si="210"/>
        <v>10905</v>
      </c>
      <c r="O472" s="41">
        <f t="shared" si="210"/>
        <v>10905</v>
      </c>
      <c r="P472" s="41">
        <f t="shared" si="210"/>
        <v>10905</v>
      </c>
      <c r="Q472" s="41">
        <f t="shared" si="210"/>
        <v>10905</v>
      </c>
      <c r="R472" s="349">
        <f t="shared" si="210"/>
        <v>308260</v>
      </c>
      <c r="S472" s="349">
        <f t="shared" si="210"/>
        <v>321737</v>
      </c>
      <c r="T472" s="349">
        <f t="shared" si="210"/>
        <v>332776</v>
      </c>
    </row>
    <row r="474" spans="2:20" x14ac:dyDescent="0.2">
      <c r="C474" s="18" t="s">
        <v>131</v>
      </c>
    </row>
  </sheetData>
  <printOptions horizontalCentered="1"/>
  <pageMargins left="0.2" right="0.25" top="0.36" bottom="0.5" header="0.25" footer="0.25"/>
  <pageSetup scale="45" fitToHeight="0" orientation="landscape" horizontalDpi="4294967292" verticalDpi="300" r:id="rId1"/>
  <headerFooter alignWithMargins="0">
    <oddFooter>&amp;R&amp;8&amp;F&amp;A
&amp;D&amp;T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abSelected="1" zoomScale="75" workbookViewId="0">
      <selection activeCell="C5" sqref="C5"/>
    </sheetView>
  </sheetViews>
  <sheetFormatPr defaultColWidth="9.77734375" defaultRowHeight="15" x14ac:dyDescent="0.2"/>
  <cols>
    <col min="1" max="1" width="5.6640625" customWidth="1"/>
    <col min="2" max="2" width="5.21875" customWidth="1"/>
    <col min="3" max="3" width="4.5546875" customWidth="1"/>
    <col min="4" max="4" width="7.88671875" customWidth="1"/>
    <col min="5" max="5" width="5.44140625" customWidth="1"/>
    <col min="6" max="6" width="7.6640625" customWidth="1"/>
    <col min="7" max="7" width="8.6640625" customWidth="1"/>
    <col min="8" max="8" width="2.77734375" customWidth="1"/>
    <col min="9" max="9" width="7.77734375" customWidth="1"/>
    <col min="10" max="10" width="2.77734375" customWidth="1"/>
    <col min="11" max="11" width="7.77734375" customWidth="1"/>
    <col min="12" max="12" width="2.77734375" customWidth="1"/>
    <col min="13" max="13" width="7.77734375" customWidth="1"/>
    <col min="14" max="14" width="2.77734375" customWidth="1"/>
    <col min="15" max="15" width="3.109375" customWidth="1"/>
  </cols>
  <sheetData>
    <row r="1" spans="1:13" ht="24.75" x14ac:dyDescent="0.35">
      <c r="A1" s="49" t="str">
        <f>+Intro!C3</f>
        <v>Research Group - Kaminski</v>
      </c>
      <c r="B1" s="22"/>
      <c r="C1" s="22"/>
      <c r="D1" s="22"/>
      <c r="E1" s="22"/>
      <c r="F1" s="22"/>
      <c r="G1" s="22"/>
      <c r="H1" s="22"/>
      <c r="I1" s="22"/>
      <c r="J1" s="50"/>
      <c r="K1" s="22"/>
      <c r="L1" s="22"/>
      <c r="M1" s="22"/>
    </row>
    <row r="2" spans="1:13" ht="19.5" x14ac:dyDescent="0.35">
      <c r="A2" s="51" t="s">
        <v>358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5.75" x14ac:dyDescent="0.25">
      <c r="A3" s="52" t="s">
        <v>224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ht="18" customHeight="1" x14ac:dyDescent="0.25">
      <c r="C4" s="53" t="s">
        <v>225</v>
      </c>
      <c r="D4" s="411">
        <f>+Intro!C4</f>
        <v>11</v>
      </c>
    </row>
    <row r="5" spans="1:13" ht="18" customHeight="1" x14ac:dyDescent="0.25">
      <c r="B5" s="54"/>
      <c r="C5" s="53" t="s">
        <v>226</v>
      </c>
      <c r="D5" s="298">
        <f>+Intro!F4</f>
        <v>100038</v>
      </c>
      <c r="G5" s="55" t="s">
        <v>227</v>
      </c>
      <c r="H5" s="48"/>
      <c r="I5" s="23" t="s">
        <v>228</v>
      </c>
      <c r="J5" s="23"/>
      <c r="K5" s="23"/>
      <c r="L5" s="23"/>
      <c r="M5" s="23"/>
    </row>
    <row r="6" spans="1:13" ht="15.95" customHeight="1" x14ac:dyDescent="0.2">
      <c r="G6" s="56" t="s">
        <v>359</v>
      </c>
      <c r="I6" s="46">
        <v>2000</v>
      </c>
      <c r="K6" s="46">
        <v>2001</v>
      </c>
      <c r="M6" s="46">
        <v>2002</v>
      </c>
    </row>
    <row r="7" spans="1:13" ht="15.95" customHeight="1" x14ac:dyDescent="0.25">
      <c r="A7" s="57" t="s">
        <v>229</v>
      </c>
    </row>
    <row r="8" spans="1:13" ht="15.95" customHeight="1" x14ac:dyDescent="0.2">
      <c r="B8" s="58" t="s">
        <v>230</v>
      </c>
      <c r="G8">
        <v>18</v>
      </c>
      <c r="I8">
        <v>30</v>
      </c>
      <c r="K8">
        <v>33</v>
      </c>
      <c r="M8">
        <v>33</v>
      </c>
    </row>
    <row r="9" spans="1:13" ht="15.95" customHeight="1" x14ac:dyDescent="0.2">
      <c r="B9" s="58" t="s">
        <v>231</v>
      </c>
      <c r="G9">
        <v>2</v>
      </c>
      <c r="I9">
        <v>2</v>
      </c>
      <c r="K9">
        <v>2</v>
      </c>
      <c r="M9">
        <v>2</v>
      </c>
    </row>
    <row r="10" spans="1:13" ht="15.95" customHeight="1" x14ac:dyDescent="0.2">
      <c r="B10" s="58" t="s">
        <v>232</v>
      </c>
      <c r="M10">
        <v>1</v>
      </c>
    </row>
    <row r="11" spans="1:13" ht="15.95" customHeight="1" x14ac:dyDescent="0.2">
      <c r="B11" s="58" t="s">
        <v>233</v>
      </c>
    </row>
    <row r="12" spans="1:13" ht="15.95" customHeight="1" x14ac:dyDescent="0.2">
      <c r="B12" s="58" t="s">
        <v>234</v>
      </c>
      <c r="G12" s="45"/>
      <c r="I12" s="45"/>
      <c r="K12" s="45"/>
      <c r="M12" s="45"/>
    </row>
    <row r="13" spans="1:13" ht="15.95" customHeight="1" x14ac:dyDescent="0.2">
      <c r="C13" s="58" t="s">
        <v>235</v>
      </c>
      <c r="G13">
        <f>SUM(G8:G12)</f>
        <v>20</v>
      </c>
      <c r="I13">
        <f>SUM(I8:I12)</f>
        <v>32</v>
      </c>
      <c r="K13">
        <f>SUM(K8:K12)</f>
        <v>35</v>
      </c>
      <c r="M13">
        <f>SUM(M8:M12)</f>
        <v>36</v>
      </c>
    </row>
    <row r="14" spans="1:13" ht="15.95" customHeight="1" x14ac:dyDescent="0.2">
      <c r="B14" s="58" t="s">
        <v>236</v>
      </c>
      <c r="G14" s="45"/>
      <c r="I14" s="45"/>
      <c r="K14" s="45"/>
      <c r="M14" s="45"/>
    </row>
    <row r="15" spans="1:13" ht="15.95" customHeight="1" thickBot="1" x14ac:dyDescent="0.25">
      <c r="B15" s="58" t="s">
        <v>237</v>
      </c>
      <c r="G15" s="59">
        <f>G13+G14</f>
        <v>20</v>
      </c>
      <c r="I15" s="59">
        <f>I13+I14</f>
        <v>32</v>
      </c>
      <c r="K15" s="59">
        <f>K13+K14</f>
        <v>35</v>
      </c>
      <c r="M15" s="59">
        <f>M13+M14</f>
        <v>36</v>
      </c>
    </row>
    <row r="16" spans="1:13" ht="15.95" customHeight="1" thickTop="1" x14ac:dyDescent="0.2"/>
    <row r="17" spans="1:13" ht="15.95" customHeight="1" x14ac:dyDescent="0.25">
      <c r="A17" s="57" t="s">
        <v>238</v>
      </c>
    </row>
    <row r="18" spans="1:13" ht="15.95" customHeight="1" x14ac:dyDescent="0.2">
      <c r="B18" s="58" t="s">
        <v>230</v>
      </c>
    </row>
    <row r="19" spans="1:13" ht="15.95" customHeight="1" x14ac:dyDescent="0.2">
      <c r="B19" s="58" t="s">
        <v>231</v>
      </c>
    </row>
    <row r="20" spans="1:13" ht="15.95" customHeight="1" x14ac:dyDescent="0.2">
      <c r="B20" s="58" t="s">
        <v>232</v>
      </c>
    </row>
    <row r="21" spans="1:13" ht="15.95" customHeight="1" x14ac:dyDescent="0.2">
      <c r="B21" s="58" t="s">
        <v>233</v>
      </c>
    </row>
    <row r="22" spans="1:13" ht="15.95" customHeight="1" x14ac:dyDescent="0.2">
      <c r="B22" s="58" t="s">
        <v>234</v>
      </c>
      <c r="G22" s="45"/>
      <c r="I22" s="45"/>
      <c r="K22" s="45"/>
      <c r="M22" s="45"/>
    </row>
    <row r="23" spans="1:13" ht="15.95" customHeight="1" x14ac:dyDescent="0.2">
      <c r="C23" s="58" t="s">
        <v>235</v>
      </c>
      <c r="G23">
        <f>SUM(G18:G22)</f>
        <v>0</v>
      </c>
      <c r="I23">
        <f>SUM(I18:I22)</f>
        <v>0</v>
      </c>
      <c r="K23">
        <f>SUM(K18:K22)</f>
        <v>0</v>
      </c>
      <c r="M23">
        <f>SUM(M18:M22)</f>
        <v>0</v>
      </c>
    </row>
    <row r="24" spans="1:13" ht="15.95" customHeight="1" x14ac:dyDescent="0.2">
      <c r="B24" s="58" t="s">
        <v>236</v>
      </c>
      <c r="G24" s="45"/>
      <c r="I24" s="45"/>
      <c r="K24" s="45"/>
      <c r="M24" s="45"/>
    </row>
    <row r="25" spans="1:13" ht="15.95" customHeight="1" thickBot="1" x14ac:dyDescent="0.25">
      <c r="B25" s="58" t="s">
        <v>237</v>
      </c>
      <c r="G25" s="59">
        <f>G23+G24</f>
        <v>0</v>
      </c>
      <c r="I25" s="59">
        <f>I23+I24</f>
        <v>0</v>
      </c>
      <c r="K25" s="59">
        <f>K23+K24</f>
        <v>0</v>
      </c>
      <c r="M25" s="59">
        <f>M23+M24</f>
        <v>0</v>
      </c>
    </row>
    <row r="26" spans="1:13" ht="15.95" customHeight="1" thickTop="1" x14ac:dyDescent="0.2"/>
    <row r="27" spans="1:13" ht="15.95" customHeight="1" x14ac:dyDescent="0.25">
      <c r="A27" s="57" t="s">
        <v>239</v>
      </c>
    </row>
    <row r="28" spans="1:13" ht="15.95" customHeight="1" x14ac:dyDescent="0.2">
      <c r="B28" s="58" t="s">
        <v>230</v>
      </c>
      <c r="G28">
        <f>G8+G18</f>
        <v>18</v>
      </c>
      <c r="I28">
        <f>I8+I18</f>
        <v>30</v>
      </c>
      <c r="K28">
        <f>K8+K18</f>
        <v>33</v>
      </c>
      <c r="M28">
        <f>M8+M18</f>
        <v>33</v>
      </c>
    </row>
    <row r="29" spans="1:13" ht="15.95" customHeight="1" x14ac:dyDescent="0.2">
      <c r="B29" s="58" t="s">
        <v>231</v>
      </c>
      <c r="G29">
        <f>G9+G19</f>
        <v>2</v>
      </c>
      <c r="I29">
        <f>I9+I19</f>
        <v>2</v>
      </c>
      <c r="K29">
        <f>K9+K19</f>
        <v>2</v>
      </c>
      <c r="M29">
        <f>M9+M19</f>
        <v>2</v>
      </c>
    </row>
    <row r="30" spans="1:13" ht="15.95" customHeight="1" x14ac:dyDescent="0.2">
      <c r="B30" s="58" t="s">
        <v>232</v>
      </c>
      <c r="G30">
        <f>G20+G10</f>
        <v>0</v>
      </c>
      <c r="I30">
        <f>I20+I10</f>
        <v>0</v>
      </c>
      <c r="K30">
        <f>K20+K10</f>
        <v>0</v>
      </c>
      <c r="M30">
        <f>M20+M10</f>
        <v>1</v>
      </c>
    </row>
    <row r="31" spans="1:13" ht="15.95" customHeight="1" x14ac:dyDescent="0.2">
      <c r="B31" s="58" t="s">
        <v>233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5" customHeight="1" x14ac:dyDescent="0.2">
      <c r="B32" s="58" t="s">
        <v>234</v>
      </c>
      <c r="G32" s="45">
        <f>G22+G12</f>
        <v>0</v>
      </c>
      <c r="I32" s="45">
        <f>I22+I12</f>
        <v>0</v>
      </c>
      <c r="K32" s="45">
        <f>K22+K12</f>
        <v>0</v>
      </c>
      <c r="M32" s="45">
        <f>M22+M12</f>
        <v>0</v>
      </c>
    </row>
    <row r="33" spans="1:13" ht="15.95" customHeight="1" x14ac:dyDescent="0.25">
      <c r="A33" s="60"/>
      <c r="C33" s="58" t="s">
        <v>240</v>
      </c>
      <c r="G33">
        <f>SUM(G28:G32)</f>
        <v>20</v>
      </c>
      <c r="I33">
        <f>SUM(I28:I32)</f>
        <v>32</v>
      </c>
      <c r="K33">
        <f>SUM(K28:K32)</f>
        <v>35</v>
      </c>
      <c r="M33">
        <f>SUM(M28:M32)</f>
        <v>36</v>
      </c>
    </row>
    <row r="34" spans="1:13" ht="15.95" customHeight="1" x14ac:dyDescent="0.25">
      <c r="A34" s="60"/>
      <c r="B34" s="58" t="s">
        <v>241</v>
      </c>
      <c r="G34" s="45">
        <f>G24+G14</f>
        <v>0</v>
      </c>
      <c r="I34" s="45">
        <f>I24+I14</f>
        <v>0</v>
      </c>
      <c r="K34" s="45">
        <f>K24+K14</f>
        <v>0</v>
      </c>
      <c r="M34" s="45">
        <f>M24+M14</f>
        <v>0</v>
      </c>
    </row>
    <row r="35" spans="1:13" ht="15.95" customHeight="1" thickBot="1" x14ac:dyDescent="0.3">
      <c r="A35" s="60"/>
      <c r="B35" s="58" t="s">
        <v>242</v>
      </c>
      <c r="G35" s="59">
        <f>G33+G34</f>
        <v>20</v>
      </c>
      <c r="I35" s="59">
        <f>I33+I34</f>
        <v>32</v>
      </c>
      <c r="K35" s="59">
        <f>K33+K34</f>
        <v>35</v>
      </c>
      <c r="M35" s="59">
        <f>M33+M34</f>
        <v>36</v>
      </c>
    </row>
    <row r="36" spans="1:13" ht="15.95" customHeight="1" thickTop="1" x14ac:dyDescent="0.25">
      <c r="A36" s="60"/>
    </row>
    <row r="37" spans="1:13" ht="15.95" customHeight="1" x14ac:dyDescent="0.25">
      <c r="A37" s="60"/>
    </row>
    <row r="38" spans="1:13" ht="15.95" customHeight="1" x14ac:dyDescent="0.25">
      <c r="A38" s="57" t="s">
        <v>243</v>
      </c>
    </row>
    <row r="39" spans="1:13" ht="15.95" customHeight="1" x14ac:dyDescent="0.2">
      <c r="B39" s="58" t="s">
        <v>244</v>
      </c>
    </row>
    <row r="40" spans="1:13" ht="15.95" customHeight="1" x14ac:dyDescent="0.2">
      <c r="C40" s="58" t="s">
        <v>245</v>
      </c>
      <c r="G40">
        <v>20</v>
      </c>
      <c r="I40">
        <v>32</v>
      </c>
      <c r="K40">
        <v>35</v>
      </c>
      <c r="M40">
        <v>36</v>
      </c>
    </row>
    <row r="41" spans="1:13" ht="15.95" customHeight="1" x14ac:dyDescent="0.2">
      <c r="C41" s="58" t="s">
        <v>246</v>
      </c>
    </row>
    <row r="42" spans="1:13" ht="15.95" customHeight="1" x14ac:dyDescent="0.2">
      <c r="C42" s="58" t="s">
        <v>247</v>
      </c>
    </row>
    <row r="43" spans="1:13" ht="15.95" customHeight="1" x14ac:dyDescent="0.2">
      <c r="C43" s="58" t="s">
        <v>91</v>
      </c>
    </row>
    <row r="44" spans="1:13" ht="15.95" customHeight="1" x14ac:dyDescent="0.2">
      <c r="B44" s="58" t="s">
        <v>248</v>
      </c>
    </row>
    <row r="45" spans="1:13" ht="15.95" customHeight="1" x14ac:dyDescent="0.2">
      <c r="B45" s="58" t="s">
        <v>249</v>
      </c>
      <c r="G45" s="45"/>
      <c r="I45" s="45"/>
      <c r="K45" s="45"/>
      <c r="M45" s="45"/>
    </row>
    <row r="46" spans="1:13" ht="15.95" customHeight="1" thickBot="1" x14ac:dyDescent="0.25">
      <c r="B46" s="58" t="s">
        <v>237</v>
      </c>
      <c r="G46" s="59">
        <f>SUM(G40:G45)</f>
        <v>20</v>
      </c>
      <c r="I46" s="59">
        <f>SUM(I40:I45)</f>
        <v>32</v>
      </c>
      <c r="K46" s="59">
        <f>SUM(K40:K45)</f>
        <v>35</v>
      </c>
      <c r="M46" s="59">
        <f>SUM(M40:M45)</f>
        <v>36</v>
      </c>
    </row>
    <row r="47" spans="1:13" ht="15.95" customHeight="1" thickTop="1" x14ac:dyDescent="0.2"/>
    <row r="48" spans="1:13" ht="15.95" customHeight="1" x14ac:dyDescent="0.25">
      <c r="A48" s="57" t="s">
        <v>250</v>
      </c>
    </row>
    <row r="49" spans="1:13" ht="15.95" customHeight="1" x14ac:dyDescent="0.2">
      <c r="B49" s="58" t="s">
        <v>244</v>
      </c>
    </row>
    <row r="50" spans="1:13" ht="15.95" customHeight="1" x14ac:dyDescent="0.2">
      <c r="C50" s="58" t="s">
        <v>245</v>
      </c>
    </row>
    <row r="51" spans="1:13" ht="15.95" customHeight="1" x14ac:dyDescent="0.2">
      <c r="C51" s="58" t="s">
        <v>246</v>
      </c>
    </row>
    <row r="52" spans="1:13" ht="15.95" customHeight="1" x14ac:dyDescent="0.2">
      <c r="C52" s="58" t="s">
        <v>247</v>
      </c>
    </row>
    <row r="53" spans="1:13" ht="15.95" customHeight="1" x14ac:dyDescent="0.2">
      <c r="C53" s="58" t="s">
        <v>91</v>
      </c>
    </row>
    <row r="54" spans="1:13" ht="15.95" customHeight="1" x14ac:dyDescent="0.2">
      <c r="B54" s="58" t="s">
        <v>248</v>
      </c>
    </row>
    <row r="55" spans="1:13" ht="15.95" customHeight="1" x14ac:dyDescent="0.2">
      <c r="B55" s="58" t="s">
        <v>249</v>
      </c>
      <c r="G55" s="45"/>
      <c r="I55" s="45"/>
      <c r="K55" s="45"/>
      <c r="M55" s="45"/>
    </row>
    <row r="56" spans="1:13" ht="15.95" customHeight="1" thickBot="1" x14ac:dyDescent="0.25">
      <c r="B56" s="58" t="s">
        <v>237</v>
      </c>
      <c r="G56" s="59">
        <f>SUM(G50:G55)</f>
        <v>0</v>
      </c>
      <c r="I56" s="59">
        <f>SUM(I50:I55)</f>
        <v>0</v>
      </c>
      <c r="K56" s="59">
        <f>SUM(K50:K55)</f>
        <v>0</v>
      </c>
      <c r="M56" s="59">
        <f>SUM(M50:M55)</f>
        <v>0</v>
      </c>
    </row>
    <row r="57" spans="1:13" ht="15.95" customHeight="1" thickTop="1" x14ac:dyDescent="0.2"/>
    <row r="58" spans="1:13" ht="15.95" customHeight="1" thickBot="1" x14ac:dyDescent="0.25">
      <c r="A58" s="58" t="s">
        <v>251</v>
      </c>
      <c r="G58" s="59">
        <f>G56+G46</f>
        <v>20</v>
      </c>
      <c r="I58" s="59">
        <f>I56+I46</f>
        <v>32</v>
      </c>
      <c r="K58" s="59">
        <f>K56+K46</f>
        <v>35</v>
      </c>
      <c r="M58" s="59">
        <f>M56+M46</f>
        <v>36</v>
      </c>
    </row>
    <row r="59" spans="1:13" ht="15.95" customHeight="1" thickTop="1" x14ac:dyDescent="0.2">
      <c r="B59" s="58" t="s">
        <v>252</v>
      </c>
    </row>
  </sheetData>
  <printOptions horizontalCentered="1"/>
  <pageMargins left="0.25" right="0.25" top="0.5" bottom="0.5" header="0.25" footer="0.25"/>
  <pageSetup scale="55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zoomScale="75" workbookViewId="0">
      <selection activeCell="C5" sqref="C5"/>
    </sheetView>
  </sheetViews>
  <sheetFormatPr defaultRowHeight="15" x14ac:dyDescent="0.2"/>
  <cols>
    <col min="1" max="3" width="8.88671875" style="14"/>
    <col min="4" max="4" width="5.33203125" style="14" customWidth="1"/>
    <col min="5" max="5" width="3.109375" style="14" customWidth="1"/>
    <col min="6" max="6" width="7.21875" style="14" customWidth="1"/>
    <col min="7" max="7" width="3.33203125" style="14" customWidth="1"/>
    <col min="8" max="8" width="7.6640625" style="14" customWidth="1"/>
    <col min="9" max="9" width="3.109375" style="14" customWidth="1"/>
    <col min="10" max="10" width="8.109375" style="14" customWidth="1"/>
    <col min="11" max="11" width="1.109375" style="14" customWidth="1"/>
    <col min="12" max="12" width="8.21875" style="14" customWidth="1"/>
    <col min="13" max="13" width="1" style="14" customWidth="1"/>
    <col min="14" max="14" width="9.109375" style="14" customWidth="1"/>
    <col min="15" max="16384" width="8.88671875" style="14"/>
  </cols>
  <sheetData>
    <row r="1" spans="1:15" s="189" customFormat="1" ht="18" x14ac:dyDescent="0.25">
      <c r="A1" s="84" t="str">
        <f>+Intro!C3</f>
        <v>Research Group - Kaminski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188"/>
    </row>
    <row r="2" spans="1:15" s="189" customFormat="1" ht="18" x14ac:dyDescent="0.25">
      <c r="A2" s="84" t="s">
        <v>175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</row>
    <row r="3" spans="1:15" ht="15.75" x14ac:dyDescent="0.25">
      <c r="A3" s="21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</row>
    <row r="4" spans="1:15" ht="15.75" x14ac:dyDescent="0.25">
      <c r="A4" s="21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</row>
    <row r="6" spans="1:15" ht="15.75" x14ac:dyDescent="0.25">
      <c r="F6" s="47" t="s">
        <v>65</v>
      </c>
      <c r="H6" s="47" t="s">
        <v>66</v>
      </c>
      <c r="J6" s="175" t="s">
        <v>65</v>
      </c>
      <c r="K6" s="176"/>
      <c r="L6" s="176"/>
      <c r="M6" s="176"/>
      <c r="N6" s="176"/>
    </row>
    <row r="7" spans="1:15" s="148" customFormat="1" ht="15.75" x14ac:dyDescent="0.25">
      <c r="F7" s="177">
        <v>1999</v>
      </c>
      <c r="G7" s="244"/>
      <c r="H7" s="177">
        <v>1999</v>
      </c>
      <c r="J7" s="177">
        <v>2000</v>
      </c>
      <c r="K7" s="178"/>
      <c r="L7" s="177">
        <v>2001</v>
      </c>
      <c r="M7" s="179"/>
      <c r="N7" s="177">
        <v>2002</v>
      </c>
    </row>
    <row r="8" spans="1:15" ht="18" customHeight="1" x14ac:dyDescent="0.2">
      <c r="A8" s="14" t="s">
        <v>176</v>
      </c>
    </row>
    <row r="9" spans="1:15" ht="18" customHeight="1" x14ac:dyDescent="0.2">
      <c r="A9" s="14" t="s">
        <v>177</v>
      </c>
      <c r="F9" s="33">
        <v>0</v>
      </c>
      <c r="G9" s="33"/>
      <c r="H9" s="33">
        <v>0</v>
      </c>
      <c r="I9" s="33"/>
      <c r="J9" s="33">
        <v>0</v>
      </c>
      <c r="K9" s="33"/>
      <c r="L9" s="33">
        <v>0</v>
      </c>
      <c r="M9" s="33"/>
      <c r="N9" s="33">
        <v>0</v>
      </c>
    </row>
    <row r="10" spans="1:15" ht="18" customHeight="1" x14ac:dyDescent="0.2">
      <c r="A10" s="14" t="s">
        <v>178</v>
      </c>
      <c r="F10" s="33">
        <v>80000</v>
      </c>
      <c r="G10" s="33"/>
      <c r="H10" s="33">
        <v>0</v>
      </c>
      <c r="I10" s="33"/>
      <c r="J10" s="33">
        <v>80000</v>
      </c>
      <c r="K10" s="33"/>
      <c r="L10" s="33">
        <v>82400</v>
      </c>
      <c r="M10" s="33"/>
      <c r="N10" s="33">
        <v>84872</v>
      </c>
    </row>
    <row r="11" spans="1:15" ht="25.5" customHeight="1" x14ac:dyDescent="0.2">
      <c r="A11" s="14" t="s">
        <v>91</v>
      </c>
      <c r="F11" s="43">
        <v>0</v>
      </c>
      <c r="G11" s="33"/>
      <c r="H11" s="43">
        <v>0</v>
      </c>
      <c r="I11" s="33"/>
      <c r="J11" s="43">
        <v>0</v>
      </c>
      <c r="K11" s="33"/>
      <c r="L11" s="43">
        <v>0</v>
      </c>
      <c r="M11" s="33"/>
      <c r="N11" s="43">
        <v>0</v>
      </c>
    </row>
    <row r="12" spans="1:15" ht="25.5" customHeight="1" thickBot="1" x14ac:dyDescent="0.25">
      <c r="A12" s="14" t="s">
        <v>179</v>
      </c>
      <c r="F12" s="180">
        <f>SUM(F9:F11)</f>
        <v>80000</v>
      </c>
      <c r="H12" s="180">
        <f>SUM(H9:H11)</f>
        <v>0</v>
      </c>
      <c r="J12" s="180">
        <f>SUM(J9:J11)</f>
        <v>80000</v>
      </c>
      <c r="L12" s="180">
        <f>SUM(L9:L11)</f>
        <v>82400</v>
      </c>
      <c r="N12" s="180">
        <f>SUM(N9:N11)</f>
        <v>84872</v>
      </c>
    </row>
    <row r="13" spans="1:15" ht="15.75" thickTop="1" x14ac:dyDescent="0.2"/>
    <row r="15" spans="1:15" x14ac:dyDescent="0.2">
      <c r="A15" s="173" t="s">
        <v>180</v>
      </c>
      <c r="B15" s="174"/>
      <c r="C15" s="174"/>
      <c r="D15" s="174"/>
      <c r="E15" s="174"/>
      <c r="F15" s="174"/>
      <c r="G15" s="174"/>
      <c r="H15" s="174"/>
    </row>
    <row r="16" spans="1:15" ht="15.75" x14ac:dyDescent="0.25">
      <c r="A16" s="173"/>
      <c r="B16" s="174"/>
      <c r="C16" s="174"/>
      <c r="D16" s="174"/>
      <c r="E16" s="174"/>
      <c r="F16" s="174"/>
      <c r="G16" s="326" t="s">
        <v>405</v>
      </c>
      <c r="H16" s="328"/>
    </row>
    <row r="17" spans="1:14" x14ac:dyDescent="0.2">
      <c r="A17" s="181"/>
      <c r="B17" s="182" t="s">
        <v>181</v>
      </c>
      <c r="G17" s="17"/>
      <c r="H17" s="17"/>
    </row>
    <row r="18" spans="1:14" x14ac:dyDescent="0.2">
      <c r="A18" s="181"/>
      <c r="B18" s="182" t="s">
        <v>182</v>
      </c>
      <c r="G18" s="17"/>
      <c r="H18" s="17" t="s">
        <v>485</v>
      </c>
    </row>
    <row r="19" spans="1:14" x14ac:dyDescent="0.2">
      <c r="A19" s="181"/>
      <c r="B19" s="182" t="s">
        <v>183</v>
      </c>
      <c r="G19" s="17"/>
      <c r="H19" s="17"/>
    </row>
    <row r="20" spans="1:14" x14ac:dyDescent="0.2">
      <c r="A20" s="181"/>
      <c r="B20" s="182"/>
    </row>
    <row r="21" spans="1:14" s="186" customFormat="1" ht="12.75" x14ac:dyDescent="0.2">
      <c r="A21" s="186" t="s">
        <v>184</v>
      </c>
    </row>
    <row r="22" spans="1:14" s="186" customFormat="1" ht="12.75" x14ac:dyDescent="0.2">
      <c r="A22" s="186" t="s">
        <v>185</v>
      </c>
    </row>
    <row r="24" spans="1:14" s="186" customFormat="1" ht="12.75" x14ac:dyDescent="0.2">
      <c r="C24" s="185" t="s">
        <v>186</v>
      </c>
      <c r="D24" s="327">
        <f>+Intro!C4</f>
        <v>11</v>
      </c>
      <c r="E24" s="185"/>
      <c r="F24" s="186" t="s">
        <v>187</v>
      </c>
      <c r="G24" s="185"/>
      <c r="H24" s="327">
        <f>+Intro!F4</f>
        <v>100038</v>
      </c>
      <c r="N24" s="36"/>
    </row>
    <row r="25" spans="1:14" x14ac:dyDescent="0.2">
      <c r="N25" s="183"/>
    </row>
    <row r="26" spans="1:14" x14ac:dyDescent="0.2">
      <c r="N26" s="184"/>
    </row>
    <row r="27" spans="1:14" ht="15.75" x14ac:dyDescent="0.25">
      <c r="A27" s="15" t="s">
        <v>406</v>
      </c>
    </row>
  </sheetData>
  <printOptions horizontalCentered="1"/>
  <pageMargins left="0.25" right="0.25" top="0.5" bottom="0.5" header="0.25" footer="0.25"/>
  <pageSetup orientation="landscape" horizontalDpi="4294967292" verticalDpi="300" r:id="rId1"/>
  <headerFooter alignWithMargins="0">
    <oddFooter>&amp;R&amp;8&amp;F&amp;A
&amp;D&amp;T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zoomScale="75" workbookViewId="0">
      <selection activeCell="C5" sqref="C5"/>
    </sheetView>
  </sheetViews>
  <sheetFormatPr defaultColWidth="5.44140625" defaultRowHeight="15" x14ac:dyDescent="0.2"/>
  <cols>
    <col min="1" max="1" width="47.77734375" customWidth="1"/>
    <col min="2" max="2" width="11.5546875" customWidth="1"/>
    <col min="3" max="3" width="2.109375" customWidth="1"/>
    <col min="4" max="4" width="10.44140625" style="344" customWidth="1"/>
    <col min="5" max="5" width="2.109375" customWidth="1"/>
    <col min="6" max="6" width="11.21875" customWidth="1"/>
    <col min="7" max="7" width="2.109375" customWidth="1"/>
    <col min="8" max="8" width="10.88671875" customWidth="1"/>
    <col min="9" max="9" width="8.88671875" customWidth="1"/>
    <col min="10" max="11" width="8.6640625" customWidth="1"/>
    <col min="12" max="12" width="8.33203125" customWidth="1"/>
    <col min="13" max="13" width="2.109375" customWidth="1"/>
    <col min="14" max="14" width="9.109375" customWidth="1"/>
    <col min="15" max="15" width="2.109375" customWidth="1"/>
    <col min="16" max="16" width="9.109375" customWidth="1"/>
    <col min="17" max="17" width="5.44140625" customWidth="1"/>
    <col min="18" max="18" width="23.88671875" customWidth="1"/>
    <col min="19" max="24" width="4.44140625" customWidth="1"/>
    <col min="25" max="25" width="9.88671875" customWidth="1"/>
    <col min="26" max="26" width="10.6640625" customWidth="1"/>
    <col min="27" max="27" width="5.44140625" customWidth="1"/>
    <col min="28" max="28" width="23.88671875" customWidth="1"/>
    <col min="29" max="29" width="9.109375" customWidth="1"/>
    <col min="30" max="30" width="13" customWidth="1"/>
    <col min="31" max="31" width="8.33203125" customWidth="1"/>
    <col min="32" max="32" width="9.109375" customWidth="1"/>
    <col min="33" max="33" width="9.88671875" customWidth="1"/>
    <col min="34" max="34" width="5.44140625" customWidth="1"/>
    <col min="35" max="35" width="23.88671875" customWidth="1"/>
    <col min="36" max="39" width="11.44140625" customWidth="1"/>
    <col min="40" max="40" width="5.44140625" customWidth="1"/>
    <col min="41" max="41" width="56.5546875" customWidth="1"/>
    <col min="42" max="43" width="5.44140625" customWidth="1"/>
    <col min="44" max="44" width="56.5546875" customWidth="1"/>
    <col min="45" max="46" width="5.44140625" customWidth="1"/>
    <col min="47" max="47" width="62.77734375" customWidth="1"/>
    <col min="48" max="48" width="5.44140625" customWidth="1"/>
    <col min="49" max="49" width="35.5546875" customWidth="1"/>
    <col min="50" max="52" width="8.33203125" customWidth="1"/>
    <col min="53" max="53" width="1.33203125" customWidth="1"/>
    <col min="54" max="54" width="8.33203125" customWidth="1"/>
    <col min="55" max="55" width="1.33203125" customWidth="1"/>
    <col min="56" max="57" width="8.88671875" customWidth="1"/>
  </cols>
  <sheetData>
    <row r="1" spans="1:9" x14ac:dyDescent="0.2">
      <c r="A1" s="143" t="s">
        <v>188</v>
      </c>
      <c r="B1" s="131"/>
      <c r="C1" s="131"/>
      <c r="D1" s="355"/>
      <c r="E1" s="131"/>
      <c r="F1" s="131"/>
      <c r="G1" s="131"/>
      <c r="H1" s="131"/>
      <c r="I1" s="131"/>
    </row>
    <row r="2" spans="1:9" x14ac:dyDescent="0.2">
      <c r="A2" s="143"/>
      <c r="B2" s="131"/>
      <c r="C2" s="131"/>
      <c r="D2" s="356"/>
      <c r="E2" s="131"/>
      <c r="F2" s="131"/>
      <c r="G2" s="131"/>
      <c r="H2" s="131"/>
      <c r="I2" s="131"/>
    </row>
    <row r="3" spans="1:9" x14ac:dyDescent="0.2">
      <c r="A3" s="143"/>
      <c r="B3" s="131"/>
      <c r="C3" s="131"/>
      <c r="D3" s="357"/>
      <c r="E3" s="131"/>
      <c r="F3" s="131"/>
      <c r="G3" s="131"/>
      <c r="H3" s="131"/>
      <c r="I3" s="131"/>
    </row>
    <row r="5" spans="1:9" x14ac:dyDescent="0.2">
      <c r="A5" s="132"/>
      <c r="B5" s="131"/>
      <c r="C5" s="131"/>
      <c r="D5" s="355"/>
      <c r="E5" s="131"/>
      <c r="F5" s="131"/>
      <c r="G5" s="131"/>
      <c r="H5" s="131"/>
      <c r="I5" s="131"/>
    </row>
    <row r="6" spans="1:9" x14ac:dyDescent="0.2">
      <c r="A6" s="132" t="s">
        <v>189</v>
      </c>
      <c r="B6" s="131"/>
      <c r="C6" s="131"/>
      <c r="D6" s="355"/>
      <c r="E6" s="131"/>
      <c r="F6" s="131"/>
      <c r="G6" s="131"/>
      <c r="H6" s="131"/>
      <c r="I6" s="131"/>
    </row>
    <row r="7" spans="1:9" x14ac:dyDescent="0.2">
      <c r="A7" s="132"/>
      <c r="B7" s="131"/>
      <c r="C7" s="131"/>
      <c r="D7" s="355"/>
      <c r="E7" s="131"/>
      <c r="F7" s="131"/>
      <c r="G7" s="131"/>
      <c r="H7" s="131"/>
      <c r="I7" s="131"/>
    </row>
    <row r="8" spans="1:9" ht="15.75" x14ac:dyDescent="0.25">
      <c r="A8" s="92" t="s">
        <v>190</v>
      </c>
      <c r="B8" s="93"/>
      <c r="C8" s="93"/>
      <c r="D8" s="358"/>
      <c r="E8" s="93"/>
      <c r="F8" s="93"/>
      <c r="G8" s="93"/>
      <c r="H8" s="94"/>
      <c r="I8" s="144"/>
    </row>
    <row r="9" spans="1:9" ht="15.75" x14ac:dyDescent="0.25">
      <c r="A9" s="92" t="s">
        <v>353</v>
      </c>
      <c r="B9" s="93"/>
      <c r="C9" s="93"/>
      <c r="D9" s="358"/>
      <c r="E9" s="93"/>
      <c r="F9" s="93"/>
      <c r="G9" s="93"/>
      <c r="H9" s="94"/>
      <c r="I9" s="144"/>
    </row>
    <row r="10" spans="1:9" ht="15.75" x14ac:dyDescent="0.25">
      <c r="A10" s="92"/>
      <c r="B10" s="93"/>
      <c r="C10" s="93"/>
      <c r="D10" s="358"/>
      <c r="E10" s="93"/>
      <c r="F10" s="93"/>
      <c r="G10" s="93"/>
      <c r="H10" s="94"/>
      <c r="I10" s="144"/>
    </row>
    <row r="11" spans="1:9" x14ac:dyDescent="0.2">
      <c r="A11" s="95" t="s">
        <v>191</v>
      </c>
      <c r="B11" s="96"/>
      <c r="C11" s="413" t="str">
        <f>+Detail!$B$8&amp;Detail!$C$8</f>
        <v>11100038</v>
      </c>
      <c r="D11" s="359"/>
      <c r="E11" s="297" t="str">
        <f>+Detail!$B$7</f>
        <v>Research Group - Kaminski</v>
      </c>
      <c r="F11" s="297"/>
      <c r="G11" s="97"/>
      <c r="H11" s="97"/>
    </row>
    <row r="12" spans="1:9" ht="16.5" thickBot="1" x14ac:dyDescent="0.3">
      <c r="A12" s="98"/>
      <c r="B12" s="99"/>
      <c r="C12" s="99"/>
      <c r="D12" s="360"/>
      <c r="E12" s="99" t="s">
        <v>189</v>
      </c>
      <c r="F12" s="99"/>
      <c r="G12" s="99"/>
      <c r="H12" s="99"/>
    </row>
    <row r="13" spans="1:9" ht="19.5" x14ac:dyDescent="0.35">
      <c r="A13" s="100" t="s">
        <v>192</v>
      </c>
      <c r="B13" s="101"/>
      <c r="C13" s="101"/>
      <c r="D13" s="361"/>
      <c r="E13" s="101"/>
      <c r="F13" s="101"/>
      <c r="G13" s="101"/>
      <c r="H13" s="102"/>
    </row>
    <row r="14" spans="1:9" ht="15.75" x14ac:dyDescent="0.25">
      <c r="A14" s="103" t="s">
        <v>354</v>
      </c>
      <c r="B14" s="104"/>
      <c r="C14" s="104"/>
      <c r="D14" s="362"/>
      <c r="E14" s="105"/>
      <c r="F14" s="106"/>
      <c r="G14" s="105"/>
      <c r="H14" s="107"/>
    </row>
    <row r="15" spans="1:9" ht="15.75" x14ac:dyDescent="0.25">
      <c r="A15" s="108"/>
      <c r="B15" s="111" t="s">
        <v>193</v>
      </c>
      <c r="C15" s="109"/>
      <c r="D15" s="363"/>
      <c r="E15" s="110"/>
      <c r="F15" s="111" t="s">
        <v>194</v>
      </c>
      <c r="G15" s="110"/>
      <c r="H15" s="112" t="s">
        <v>194</v>
      </c>
    </row>
    <row r="16" spans="1:9" ht="15.75" x14ac:dyDescent="0.25">
      <c r="A16" s="113" t="s">
        <v>355</v>
      </c>
      <c r="B16" s="115" t="s">
        <v>195</v>
      </c>
      <c r="C16" s="114"/>
      <c r="D16" s="364" t="s">
        <v>481</v>
      </c>
      <c r="E16" s="110"/>
      <c r="F16" s="115" t="s">
        <v>196</v>
      </c>
      <c r="G16" s="110"/>
      <c r="H16" s="116" t="s">
        <v>197</v>
      </c>
    </row>
    <row r="17" spans="1:9" ht="15.75" x14ac:dyDescent="0.25">
      <c r="A17" s="113" t="s">
        <v>198</v>
      </c>
      <c r="B17" s="115" t="s">
        <v>199</v>
      </c>
      <c r="C17" s="114"/>
      <c r="D17" s="364" t="s">
        <v>482</v>
      </c>
      <c r="E17" s="110"/>
      <c r="F17" s="115" t="s">
        <v>200</v>
      </c>
      <c r="G17" s="110"/>
      <c r="H17" s="116" t="s">
        <v>201</v>
      </c>
    </row>
    <row r="18" spans="1:9" ht="15.75" x14ac:dyDescent="0.25">
      <c r="A18" s="117" t="s">
        <v>202</v>
      </c>
      <c r="B18" s="119" t="s">
        <v>203</v>
      </c>
      <c r="C18" s="118"/>
      <c r="D18" s="365" t="s">
        <v>193</v>
      </c>
      <c r="E18" s="249"/>
      <c r="F18" s="119" t="s">
        <v>204</v>
      </c>
      <c r="G18" s="249"/>
      <c r="H18" s="120" t="s">
        <v>204</v>
      </c>
    </row>
    <row r="19" spans="1:9" x14ac:dyDescent="0.2">
      <c r="A19" s="121"/>
      <c r="B19" s="250"/>
      <c r="C19" s="123"/>
      <c r="D19" s="366"/>
      <c r="E19" s="110"/>
      <c r="F19" s="250"/>
      <c r="G19" s="128"/>
      <c r="H19" s="251"/>
      <c r="I19" t="s">
        <v>189</v>
      </c>
    </row>
    <row r="20" spans="1:9" x14ac:dyDescent="0.2">
      <c r="A20" s="124" t="s">
        <v>205</v>
      </c>
      <c r="B20" s="250"/>
      <c r="C20" s="123"/>
      <c r="D20" s="366"/>
      <c r="E20" s="110"/>
      <c r="F20" s="250"/>
      <c r="G20" s="128"/>
      <c r="H20" s="252"/>
    </row>
    <row r="21" spans="1:9" x14ac:dyDescent="0.2">
      <c r="A21" s="253" t="s">
        <v>206</v>
      </c>
      <c r="B21" s="127">
        <v>0</v>
      </c>
      <c r="C21" s="123"/>
      <c r="D21" s="366"/>
      <c r="E21" s="110"/>
      <c r="F21" s="250"/>
      <c r="G21" s="128"/>
      <c r="H21" s="252"/>
    </row>
    <row r="22" spans="1:9" x14ac:dyDescent="0.2">
      <c r="A22" s="253" t="s">
        <v>207</v>
      </c>
      <c r="B22" s="250"/>
      <c r="C22" s="123"/>
      <c r="D22" s="366"/>
      <c r="E22" s="110"/>
      <c r="F22" s="250"/>
      <c r="G22" s="128"/>
      <c r="H22" s="125">
        <v>0</v>
      </c>
    </row>
    <row r="23" spans="1:9" x14ac:dyDescent="0.2">
      <c r="A23" s="253" t="s">
        <v>208</v>
      </c>
      <c r="B23" s="250"/>
      <c r="C23" s="123"/>
      <c r="D23" s="366"/>
      <c r="E23" s="110"/>
      <c r="F23" s="250"/>
      <c r="G23" s="128"/>
      <c r="H23" s="125">
        <v>0</v>
      </c>
    </row>
    <row r="24" spans="1:9" x14ac:dyDescent="0.2">
      <c r="A24" s="253" t="s">
        <v>209</v>
      </c>
      <c r="B24" s="250"/>
      <c r="C24" s="123"/>
      <c r="D24" s="366"/>
      <c r="E24" s="110"/>
      <c r="F24" s="250"/>
      <c r="G24" s="128"/>
      <c r="H24" s="125">
        <v>80000</v>
      </c>
    </row>
    <row r="25" spans="1:9" x14ac:dyDescent="0.2">
      <c r="A25" s="253" t="s">
        <v>210</v>
      </c>
      <c r="B25" s="250"/>
      <c r="C25" s="123"/>
      <c r="D25" s="366"/>
      <c r="E25" s="110"/>
      <c r="F25" s="250"/>
      <c r="G25" s="128"/>
      <c r="H25" s="125">
        <v>0</v>
      </c>
      <c r="I25" s="145"/>
    </row>
    <row r="26" spans="1:9" x14ac:dyDescent="0.2">
      <c r="A26" s="121" t="s">
        <v>189</v>
      </c>
      <c r="B26" s="250"/>
      <c r="C26" s="254"/>
      <c r="D26" s="367"/>
      <c r="E26" s="255"/>
      <c r="F26" s="250"/>
      <c r="G26" s="128"/>
      <c r="H26" s="252"/>
    </row>
    <row r="27" spans="1:9" x14ac:dyDescent="0.2">
      <c r="A27" s="124" t="s">
        <v>211</v>
      </c>
      <c r="B27" s="250"/>
      <c r="C27" s="123"/>
      <c r="D27" s="367"/>
      <c r="E27" s="255"/>
      <c r="F27" s="250"/>
      <c r="G27" s="128"/>
      <c r="H27" s="252"/>
    </row>
    <row r="28" spans="1:9" x14ac:dyDescent="0.2">
      <c r="A28" s="253" t="s">
        <v>206</v>
      </c>
      <c r="B28" s="127">
        <v>0</v>
      </c>
      <c r="C28" s="123"/>
      <c r="D28" s="367"/>
      <c r="E28" s="255"/>
      <c r="F28" s="250"/>
      <c r="G28" s="128"/>
      <c r="H28" s="252"/>
    </row>
    <row r="29" spans="1:9" x14ac:dyDescent="0.2">
      <c r="A29" s="253" t="s">
        <v>207</v>
      </c>
      <c r="B29" s="250"/>
      <c r="C29" s="123"/>
      <c r="D29" s="368">
        <v>52500500</v>
      </c>
      <c r="E29" s="110"/>
      <c r="F29" s="127">
        <v>0</v>
      </c>
      <c r="G29" s="128"/>
      <c r="H29" s="252"/>
    </row>
    <row r="30" spans="1:9" x14ac:dyDescent="0.2">
      <c r="A30" s="253" t="s">
        <v>208</v>
      </c>
      <c r="B30" s="250"/>
      <c r="C30" s="123"/>
      <c r="D30" s="368">
        <v>52507500</v>
      </c>
      <c r="E30" s="110"/>
      <c r="F30" s="127">
        <v>0</v>
      </c>
      <c r="G30" s="128"/>
      <c r="H30" s="252"/>
    </row>
    <row r="31" spans="1:9" x14ac:dyDescent="0.2">
      <c r="A31" s="253" t="s">
        <v>209</v>
      </c>
      <c r="B31" s="250"/>
      <c r="C31" s="123"/>
      <c r="D31" s="368">
        <v>52504500</v>
      </c>
      <c r="E31" s="110"/>
      <c r="F31" s="127">
        <v>0</v>
      </c>
      <c r="G31" s="128"/>
      <c r="H31" s="252"/>
      <c r="I31" s="145"/>
    </row>
    <row r="32" spans="1:9" x14ac:dyDescent="0.2">
      <c r="A32" s="253" t="s">
        <v>210</v>
      </c>
      <c r="B32" s="250"/>
      <c r="C32" s="123"/>
      <c r="D32" s="368">
        <v>52507500</v>
      </c>
      <c r="E32" s="110"/>
      <c r="F32" s="127">
        <v>0</v>
      </c>
      <c r="G32" s="128"/>
      <c r="H32" s="252"/>
    </row>
    <row r="33" spans="1:9" x14ac:dyDescent="0.2">
      <c r="A33" s="256"/>
      <c r="B33" s="250"/>
      <c r="C33" s="254"/>
      <c r="D33" s="369"/>
      <c r="E33" s="255"/>
      <c r="F33" s="167"/>
      <c r="G33" s="128"/>
      <c r="H33" s="257"/>
      <c r="I33" s="145"/>
    </row>
    <row r="34" spans="1:9" x14ac:dyDescent="0.2">
      <c r="A34" s="124" t="s">
        <v>212</v>
      </c>
      <c r="B34" s="250"/>
      <c r="C34" s="123"/>
      <c r="D34" s="368">
        <v>52502000</v>
      </c>
      <c r="E34" s="255"/>
      <c r="F34" s="127">
        <v>296447</v>
      </c>
      <c r="G34" s="128"/>
      <c r="H34" s="257"/>
    </row>
    <row r="35" spans="1:9" x14ac:dyDescent="0.2">
      <c r="A35" s="256"/>
      <c r="B35" s="250"/>
      <c r="C35" s="254"/>
      <c r="D35" s="369"/>
      <c r="E35" s="255"/>
      <c r="F35" s="258" t="s">
        <v>189</v>
      </c>
      <c r="G35" s="96"/>
      <c r="H35" s="259"/>
    </row>
    <row r="36" spans="1:9" x14ac:dyDescent="0.2">
      <c r="A36" s="124" t="s">
        <v>213</v>
      </c>
      <c r="B36" s="250"/>
      <c r="C36" s="123"/>
      <c r="D36" s="370"/>
      <c r="E36" s="255"/>
      <c r="F36" s="260"/>
      <c r="G36" s="128"/>
      <c r="H36" s="261"/>
    </row>
    <row r="37" spans="1:9" x14ac:dyDescent="0.2">
      <c r="A37" s="253" t="s">
        <v>214</v>
      </c>
      <c r="B37" s="250"/>
      <c r="C37" s="254"/>
      <c r="D37" s="368">
        <v>52503000</v>
      </c>
      <c r="E37" s="255"/>
      <c r="F37" s="127">
        <v>0</v>
      </c>
      <c r="G37" s="128"/>
      <c r="H37" s="261"/>
    </row>
    <row r="38" spans="1:9" x14ac:dyDescent="0.2">
      <c r="A38" s="253" t="s">
        <v>215</v>
      </c>
      <c r="B38" s="250"/>
      <c r="C38" s="254"/>
      <c r="D38" s="368">
        <v>52503500</v>
      </c>
      <c r="E38" s="255"/>
      <c r="F38" s="127">
        <v>0</v>
      </c>
      <c r="G38" s="128"/>
      <c r="H38" s="125">
        <v>0</v>
      </c>
    </row>
    <row r="39" spans="1:9" x14ac:dyDescent="0.2">
      <c r="A39" s="253" t="s">
        <v>210</v>
      </c>
      <c r="B39" s="250"/>
      <c r="C39" s="254"/>
      <c r="D39" s="368">
        <v>52507500</v>
      </c>
      <c r="E39" s="255"/>
      <c r="F39" s="127">
        <v>0</v>
      </c>
      <c r="G39" s="128"/>
      <c r="H39" s="125">
        <v>0</v>
      </c>
    </row>
    <row r="40" spans="1:9" x14ac:dyDescent="0.2">
      <c r="A40" s="262"/>
      <c r="B40" s="263"/>
      <c r="C40" s="264"/>
      <c r="D40" s="371"/>
      <c r="E40" s="265"/>
      <c r="F40" s="263"/>
      <c r="G40" s="266"/>
      <c r="H40" s="267"/>
    </row>
    <row r="41" spans="1:9" ht="15.75" x14ac:dyDescent="0.25">
      <c r="A41" s="268"/>
      <c r="B41" s="110"/>
      <c r="C41" s="122"/>
      <c r="D41" s="372"/>
      <c r="E41" s="269"/>
      <c r="F41" s="270" t="s">
        <v>189</v>
      </c>
      <c r="G41" s="255"/>
      <c r="H41" s="271"/>
    </row>
    <row r="42" spans="1:9" ht="16.5" thickBot="1" x14ac:dyDescent="0.3">
      <c r="A42" s="272" t="s">
        <v>216</v>
      </c>
      <c r="B42" s="273">
        <f>SUM(B19:B40)</f>
        <v>0</v>
      </c>
      <c r="C42" s="129"/>
      <c r="D42" s="373"/>
      <c r="E42" s="274"/>
      <c r="F42" s="170">
        <f>SUM(F19:F40)</f>
        <v>296447</v>
      </c>
      <c r="G42" s="171"/>
      <c r="H42" s="172">
        <f>SUM(H19:H40)</f>
        <v>80000</v>
      </c>
      <c r="I42" s="145"/>
    </row>
    <row r="43" spans="1:9" ht="15.75" x14ac:dyDescent="0.25">
      <c r="A43" s="98"/>
      <c r="B43" s="122"/>
      <c r="C43" s="122"/>
      <c r="D43" s="374"/>
      <c r="E43" s="48"/>
      <c r="F43" s="275"/>
      <c r="G43" s="48"/>
    </row>
    <row r="44" spans="1:9" ht="15.75" x14ac:dyDescent="0.25">
      <c r="A44" s="98"/>
      <c r="B44" s="122"/>
      <c r="C44" s="122"/>
      <c r="D44" s="374"/>
      <c r="E44" s="48"/>
      <c r="F44" s="275"/>
      <c r="G44" s="48"/>
      <c r="I44" s="145" t="s">
        <v>189</v>
      </c>
    </row>
    <row r="45" spans="1:9" ht="16.5" thickBot="1" x14ac:dyDescent="0.3">
      <c r="A45" s="130"/>
      <c r="B45" s="131"/>
      <c r="C45" s="131"/>
      <c r="D45" s="375"/>
      <c r="E45" s="132"/>
      <c r="F45" s="133"/>
      <c r="G45" s="132"/>
    </row>
    <row r="46" spans="1:9" ht="19.5" x14ac:dyDescent="0.35">
      <c r="A46" s="100" t="s">
        <v>217</v>
      </c>
      <c r="B46" s="276"/>
      <c r="C46" s="276"/>
      <c r="D46" s="376"/>
      <c r="E46" s="277"/>
      <c r="F46" s="278"/>
      <c r="G46" s="279"/>
      <c r="H46" s="280"/>
    </row>
    <row r="47" spans="1:9" ht="15.75" x14ac:dyDescent="0.25">
      <c r="A47" s="103" t="s">
        <v>356</v>
      </c>
      <c r="B47" s="281"/>
      <c r="C47" s="281"/>
      <c r="D47" s="377"/>
      <c r="E47" s="281"/>
      <c r="F47" s="282"/>
      <c r="G47" s="283"/>
      <c r="H47" s="284"/>
    </row>
    <row r="48" spans="1:9" x14ac:dyDescent="0.2">
      <c r="A48" s="113"/>
      <c r="B48" s="285"/>
      <c r="C48" s="285"/>
      <c r="D48" s="378"/>
      <c r="E48" s="286"/>
      <c r="F48" s="287"/>
      <c r="G48" s="288" t="s">
        <v>194</v>
      </c>
      <c r="H48" s="289"/>
    </row>
    <row r="49" spans="1:9" x14ac:dyDescent="0.2">
      <c r="A49" s="117" t="s">
        <v>357</v>
      </c>
      <c r="B49" s="134"/>
      <c r="C49" s="134"/>
      <c r="D49" s="379"/>
      <c r="E49" s="135"/>
      <c r="F49" s="11"/>
      <c r="G49" s="290" t="s">
        <v>218</v>
      </c>
      <c r="H49" s="291"/>
    </row>
    <row r="50" spans="1:9" ht="15.75" x14ac:dyDescent="0.25">
      <c r="A50" s="292"/>
      <c r="B50" s="122"/>
      <c r="C50" s="122"/>
      <c r="D50" s="372"/>
      <c r="E50" s="126"/>
      <c r="G50" s="169"/>
      <c r="H50" s="136"/>
      <c r="I50" s="145"/>
    </row>
    <row r="51" spans="1:9" x14ac:dyDescent="0.2">
      <c r="A51" s="124" t="s">
        <v>219</v>
      </c>
      <c r="B51" s="122"/>
      <c r="C51" s="122"/>
      <c r="D51" s="372"/>
      <c r="E51" s="126"/>
      <c r="G51" s="168"/>
      <c r="H51" s="137">
        <v>0</v>
      </c>
    </row>
    <row r="52" spans="1:9" x14ac:dyDescent="0.2">
      <c r="A52" s="124"/>
      <c r="B52" s="122"/>
      <c r="C52" s="122"/>
      <c r="D52" s="372"/>
      <c r="E52" s="126"/>
      <c r="G52" s="169"/>
      <c r="H52" s="136"/>
    </row>
    <row r="53" spans="1:9" x14ac:dyDescent="0.2">
      <c r="A53" s="124" t="s">
        <v>220</v>
      </c>
      <c r="B53" s="122"/>
      <c r="C53" s="122"/>
      <c r="D53" s="372"/>
      <c r="E53" s="126"/>
      <c r="G53" s="168"/>
      <c r="H53" s="137">
        <v>0</v>
      </c>
    </row>
    <row r="54" spans="1:9" x14ac:dyDescent="0.2">
      <c r="A54" s="124"/>
      <c r="B54" s="122"/>
      <c r="C54" s="122"/>
      <c r="D54" s="372"/>
      <c r="E54" s="126"/>
      <c r="G54" s="169"/>
      <c r="H54" s="136"/>
    </row>
    <row r="55" spans="1:9" x14ac:dyDescent="0.2">
      <c r="A55" s="293"/>
      <c r="B55" s="285"/>
      <c r="C55" s="285"/>
      <c r="D55" s="378"/>
      <c r="E55" s="286"/>
      <c r="F55" s="287"/>
      <c r="G55" s="294"/>
      <c r="H55" s="295"/>
    </row>
    <row r="56" spans="1:9" ht="16.5" thickBot="1" x14ac:dyDescent="0.3">
      <c r="A56" s="272" t="s">
        <v>221</v>
      </c>
      <c r="B56" s="129"/>
      <c r="C56" s="129"/>
      <c r="D56" s="380"/>
      <c r="E56" s="138"/>
      <c r="F56" s="139"/>
      <c r="G56" s="140"/>
      <c r="H56" s="296">
        <f>SUM(H50:H54)</f>
        <v>0</v>
      </c>
    </row>
    <row r="57" spans="1:9" ht="15.75" x14ac:dyDescent="0.25">
      <c r="A57" s="130"/>
      <c r="B57" s="131"/>
      <c r="C57" s="131"/>
      <c r="D57" s="375"/>
      <c r="E57" s="132"/>
      <c r="F57" s="133"/>
      <c r="G57" s="132"/>
      <c r="H57" s="133" t="s">
        <v>189</v>
      </c>
    </row>
    <row r="58" spans="1:9" ht="15.75" x14ac:dyDescent="0.25">
      <c r="A58" s="141" t="s">
        <v>222</v>
      </c>
      <c r="B58" s="142"/>
      <c r="C58" s="142"/>
      <c r="D58" s="381"/>
      <c r="E58" s="142"/>
      <c r="F58" s="141" t="s">
        <v>223</v>
      </c>
      <c r="G58" s="142"/>
      <c r="H58" s="142"/>
    </row>
  </sheetData>
  <printOptions horizontalCentered="1"/>
  <pageMargins left="0.25" right="0.25" top="0.5" bottom="0.5" header="0.25" footer="0.25"/>
  <pageSetup scale="86" orientation="portrait" horizontalDpi="4294967292" verticalDpi="300" r:id="rId1"/>
  <headerFooter alignWithMargins="0">
    <oddFooter>&amp;R&amp;8&amp;F&amp;A
&amp;D&amp;T</oddFooter>
  </headerFooter>
  <rowBreaks count="1" manualBreakCount="1">
    <brk id="53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pane xSplit="2" ySplit="9" topLeftCell="C10" activePane="bottomRight" state="frozen"/>
      <selection activeCell="C5" sqref="C5"/>
      <selection pane="topRight" activeCell="C5" sqref="C5"/>
      <selection pane="bottomLeft" activeCell="C5" sqref="C5"/>
      <selection pane="bottomRight" activeCell="C10" sqref="C10"/>
    </sheetView>
  </sheetViews>
  <sheetFormatPr defaultRowHeight="15" x14ac:dyDescent="0.2"/>
  <cols>
    <col min="1" max="1" width="5.33203125" customWidth="1"/>
    <col min="2" max="2" width="27.33203125" customWidth="1"/>
    <col min="3" max="5" width="10.21875" customWidth="1"/>
    <col min="6" max="12" width="9.77734375" customWidth="1"/>
    <col min="13" max="13" width="11.77734375" customWidth="1"/>
    <col min="14" max="14" width="9.77734375" customWidth="1"/>
    <col min="15" max="15" width="11.6640625" customWidth="1"/>
    <col min="16" max="19" width="11.109375" customWidth="1"/>
    <col min="21" max="21" width="5" style="236" customWidth="1"/>
  </cols>
  <sheetData>
    <row r="1" spans="1:22" ht="15.75" x14ac:dyDescent="0.25">
      <c r="A1" s="89" t="s">
        <v>132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</row>
    <row r="2" spans="1:22" ht="15.75" x14ac:dyDescent="0.25">
      <c r="A2" s="15" t="str">
        <f>+Intro!C3</f>
        <v>Research Group - Kaminski</v>
      </c>
      <c r="B2" s="15"/>
    </row>
    <row r="3" spans="1:22" ht="15.75" x14ac:dyDescent="0.25">
      <c r="A3" s="412">
        <f>+Intro!C4</f>
        <v>11</v>
      </c>
      <c r="B3" s="329">
        <f>+Intro!F4</f>
        <v>100038</v>
      </c>
    </row>
    <row r="4" spans="1:22" ht="15.75" x14ac:dyDescent="0.25">
      <c r="A4" s="18"/>
      <c r="C4" s="218">
        <v>1999</v>
      </c>
      <c r="D4" s="218">
        <v>1999</v>
      </c>
      <c r="Q4" s="211">
        <v>2000</v>
      </c>
      <c r="R4" s="218">
        <v>2001</v>
      </c>
      <c r="S4" s="218">
        <v>2002</v>
      </c>
    </row>
    <row r="5" spans="1:22" ht="15.75" x14ac:dyDescent="0.25">
      <c r="C5" s="68" t="s">
        <v>133</v>
      </c>
      <c r="D5" s="68" t="s">
        <v>134</v>
      </c>
      <c r="E5" s="7" t="s">
        <v>67</v>
      </c>
      <c r="F5" s="7" t="s">
        <v>68</v>
      </c>
      <c r="G5" s="7" t="s">
        <v>69</v>
      </c>
      <c r="H5" s="7" t="s">
        <v>70</v>
      </c>
      <c r="I5" s="7" t="s">
        <v>71</v>
      </c>
      <c r="J5" s="7" t="s">
        <v>72</v>
      </c>
      <c r="K5" s="7" t="s">
        <v>73</v>
      </c>
      <c r="L5" s="7" t="s">
        <v>74</v>
      </c>
      <c r="M5" s="7" t="s">
        <v>75</v>
      </c>
      <c r="N5" s="7" t="s">
        <v>76</v>
      </c>
      <c r="O5" s="7" t="s">
        <v>77</v>
      </c>
      <c r="P5" s="7" t="s">
        <v>78</v>
      </c>
      <c r="Q5" s="212" t="s">
        <v>79</v>
      </c>
      <c r="R5" s="212" t="s">
        <v>79</v>
      </c>
      <c r="S5" s="68" t="s">
        <v>79</v>
      </c>
    </row>
    <row r="6" spans="1:22" ht="15.75" x14ac:dyDescent="0.25">
      <c r="C6" s="69"/>
      <c r="D6" s="6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213"/>
      <c r="R6" s="213"/>
      <c r="S6" s="69"/>
    </row>
    <row r="7" spans="1:22" s="5" customFormat="1" ht="15.75" x14ac:dyDescent="0.25">
      <c r="A7" s="5" t="s">
        <v>135</v>
      </c>
      <c r="C7" s="66">
        <f>+Detail!D341</f>
        <v>3138344</v>
      </c>
      <c r="D7" s="66">
        <f>+Detail!E341</f>
        <v>4280825</v>
      </c>
      <c r="E7" s="5">
        <f>+Detail!F341</f>
        <v>599441.91666666651</v>
      </c>
      <c r="F7" s="5">
        <f>+Detail!G341</f>
        <v>559441.91666666651</v>
      </c>
      <c r="G7" s="5">
        <f>+Detail!H341</f>
        <v>559441.91666666651</v>
      </c>
      <c r="H7" s="5">
        <f>+Detail!I341</f>
        <v>559441.91666666651</v>
      </c>
      <c r="I7" s="5">
        <f>+Detail!J341</f>
        <v>570750.66666666674</v>
      </c>
      <c r="J7" s="5">
        <f>+Detail!K341</f>
        <v>570750.66666666674</v>
      </c>
      <c r="K7" s="5">
        <f>+Detail!L341</f>
        <v>568194.66666666674</v>
      </c>
      <c r="L7" s="5">
        <f>+Detail!M341</f>
        <v>568194.66666666674</v>
      </c>
      <c r="M7" s="5">
        <f>+Detail!N341</f>
        <v>555312.66666666674</v>
      </c>
      <c r="N7" s="5">
        <f>+Detail!O341</f>
        <v>555312.66666666674</v>
      </c>
      <c r="O7" s="5">
        <f>+Detail!P341</f>
        <v>555312.66666666674</v>
      </c>
      <c r="P7" s="5">
        <f>+Detail!Q341</f>
        <v>555312.66666666674</v>
      </c>
      <c r="Q7" s="214">
        <f>+Detail!R341</f>
        <v>6776909</v>
      </c>
      <c r="R7" s="214">
        <f>+Detail!S341</f>
        <v>6751051.4855599999</v>
      </c>
      <c r="S7" s="66">
        <f>+Detail!T341</f>
        <v>7028621.9849824011</v>
      </c>
      <c r="U7" s="6"/>
    </row>
    <row r="8" spans="1:22" x14ac:dyDescent="0.2">
      <c r="C8" s="67"/>
      <c r="D8" s="67"/>
      <c r="Q8" s="215"/>
      <c r="R8" s="215"/>
      <c r="S8" s="67"/>
      <c r="U8" s="65" t="s">
        <v>336</v>
      </c>
      <c r="V8" s="65" t="s">
        <v>338</v>
      </c>
    </row>
    <row r="9" spans="1:22" s="5" customFormat="1" ht="15.75" x14ac:dyDescent="0.25">
      <c r="A9" s="5" t="s">
        <v>136</v>
      </c>
      <c r="C9" s="219" t="s">
        <v>137</v>
      </c>
      <c r="D9" s="219"/>
      <c r="E9" s="39"/>
      <c r="Q9" s="214"/>
      <c r="R9" s="214"/>
      <c r="S9" s="66"/>
      <c r="U9" s="65" t="s">
        <v>337</v>
      </c>
      <c r="V9" s="65" t="s">
        <v>339</v>
      </c>
    </row>
    <row r="10" spans="1:22" x14ac:dyDescent="0.2">
      <c r="B10" t="s">
        <v>147</v>
      </c>
      <c r="C10" s="70"/>
      <c r="D10" s="225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15">
        <f t="shared" ref="Q10:Q50" si="0">SUM(E10:P10)</f>
        <v>0</v>
      </c>
      <c r="R10" s="230"/>
      <c r="S10" s="70"/>
      <c r="U10" s="237">
        <v>1</v>
      </c>
      <c r="V10">
        <v>901</v>
      </c>
    </row>
    <row r="11" spans="1:22" x14ac:dyDescent="0.2">
      <c r="B11" t="s">
        <v>144</v>
      </c>
      <c r="C11" s="70"/>
      <c r="D11" s="225"/>
      <c r="E11" s="224">
        <f>-E7*0.15</f>
        <v>-89916.287499999977</v>
      </c>
      <c r="F11" s="224">
        <f t="shared" ref="F11:S11" si="1">-F7*0.15</f>
        <v>-83916.287499999977</v>
      </c>
      <c r="G11" s="224">
        <f t="shared" si="1"/>
        <v>-83916.287499999977</v>
      </c>
      <c r="H11" s="224">
        <f t="shared" si="1"/>
        <v>-83916.287499999977</v>
      </c>
      <c r="I11" s="224">
        <f t="shared" si="1"/>
        <v>-85612.6</v>
      </c>
      <c r="J11" s="224">
        <f t="shared" si="1"/>
        <v>-85612.6</v>
      </c>
      <c r="K11" s="224">
        <f t="shared" si="1"/>
        <v>-85229.200000000012</v>
      </c>
      <c r="L11" s="224">
        <f t="shared" si="1"/>
        <v>-85229.200000000012</v>
      </c>
      <c r="M11" s="224">
        <f t="shared" si="1"/>
        <v>-83296.900000000009</v>
      </c>
      <c r="N11" s="224">
        <f t="shared" si="1"/>
        <v>-83296.900000000009</v>
      </c>
      <c r="O11" s="224">
        <f t="shared" si="1"/>
        <v>-83296.900000000009</v>
      </c>
      <c r="P11" s="224">
        <f t="shared" si="1"/>
        <v>-83296.900000000009</v>
      </c>
      <c r="Q11" s="215">
        <f t="shared" si="0"/>
        <v>-1016536.3499999999</v>
      </c>
      <c r="R11" s="230">
        <f t="shared" si="1"/>
        <v>-1012657.7228339999</v>
      </c>
      <c r="S11" s="70">
        <f t="shared" si="1"/>
        <v>-1054293.2977473601</v>
      </c>
      <c r="U11" s="238">
        <v>11</v>
      </c>
      <c r="V11">
        <v>903</v>
      </c>
    </row>
    <row r="12" spans="1:22" x14ac:dyDescent="0.2">
      <c r="B12" t="s">
        <v>340</v>
      </c>
      <c r="C12" s="70"/>
      <c r="D12" s="225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15">
        <f>SUM(E12:P12)</f>
        <v>0</v>
      </c>
      <c r="R12" s="230"/>
      <c r="S12" s="70"/>
      <c r="U12" s="237">
        <v>11</v>
      </c>
      <c r="V12">
        <v>989</v>
      </c>
    </row>
    <row r="13" spans="1:22" x14ac:dyDescent="0.2">
      <c r="B13" t="s">
        <v>465</v>
      </c>
      <c r="C13" s="70"/>
      <c r="D13" s="225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15">
        <f>SUM(E13:P13)</f>
        <v>0</v>
      </c>
      <c r="R13" s="230"/>
      <c r="S13" s="70"/>
      <c r="U13" s="237">
        <v>12</v>
      </c>
      <c r="V13">
        <v>916</v>
      </c>
    </row>
    <row r="14" spans="1:22" x14ac:dyDescent="0.2">
      <c r="B14" t="s">
        <v>170</v>
      </c>
      <c r="C14" s="70"/>
      <c r="D14" s="225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15">
        <f t="shared" si="0"/>
        <v>0</v>
      </c>
      <c r="R14" s="230"/>
      <c r="S14" s="70"/>
      <c r="U14" s="237">
        <v>60</v>
      </c>
      <c r="V14">
        <v>912</v>
      </c>
    </row>
    <row r="15" spans="1:22" x14ac:dyDescent="0.2">
      <c r="B15" t="s">
        <v>157</v>
      </c>
      <c r="C15" s="70"/>
      <c r="D15" s="225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15">
        <f t="shared" si="0"/>
        <v>0</v>
      </c>
      <c r="R15" s="230"/>
      <c r="S15" s="70"/>
      <c r="U15" s="237">
        <v>62</v>
      </c>
      <c r="V15">
        <v>913</v>
      </c>
    </row>
    <row r="16" spans="1:22" x14ac:dyDescent="0.2">
      <c r="B16" t="s">
        <v>146</v>
      </c>
      <c r="C16" s="70"/>
      <c r="D16" s="225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15">
        <f t="shared" si="0"/>
        <v>0</v>
      </c>
      <c r="R16" s="230"/>
      <c r="S16" s="70"/>
      <c r="U16" s="237">
        <v>82</v>
      </c>
      <c r="V16">
        <v>954</v>
      </c>
    </row>
    <row r="17" spans="2:22" x14ac:dyDescent="0.2">
      <c r="B17" t="s">
        <v>473</v>
      </c>
      <c r="C17" s="70"/>
      <c r="D17" s="225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15">
        <f>SUM(E17:P17)</f>
        <v>0</v>
      </c>
      <c r="R17" s="230"/>
      <c r="S17" s="70"/>
      <c r="U17" s="237">
        <v>82</v>
      </c>
      <c r="V17">
        <v>954</v>
      </c>
    </row>
    <row r="18" spans="2:22" x14ac:dyDescent="0.2">
      <c r="B18" t="s">
        <v>138</v>
      </c>
      <c r="C18" s="70"/>
      <c r="D18" s="225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15">
        <f t="shared" si="0"/>
        <v>0</v>
      </c>
      <c r="R18" s="230"/>
      <c r="S18" s="70"/>
      <c r="U18" s="237">
        <v>85</v>
      </c>
      <c r="V18">
        <v>915</v>
      </c>
    </row>
    <row r="19" spans="2:22" x14ac:dyDescent="0.2">
      <c r="B19" t="s">
        <v>154</v>
      </c>
      <c r="C19" s="70"/>
      <c r="D19" s="225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15">
        <f t="shared" si="0"/>
        <v>0</v>
      </c>
      <c r="R19" s="230"/>
      <c r="S19" s="70"/>
      <c r="U19" s="237">
        <v>105</v>
      </c>
      <c r="V19">
        <v>919</v>
      </c>
    </row>
    <row r="20" spans="2:22" x14ac:dyDescent="0.2">
      <c r="B20" t="s">
        <v>148</v>
      </c>
      <c r="C20" s="70"/>
      <c r="D20" s="225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15">
        <f t="shared" si="0"/>
        <v>0</v>
      </c>
      <c r="R20" s="230"/>
      <c r="S20" s="70"/>
      <c r="U20" s="237">
        <v>119</v>
      </c>
      <c r="V20">
        <v>920</v>
      </c>
    </row>
    <row r="21" spans="2:22" x14ac:dyDescent="0.2">
      <c r="B21" t="s">
        <v>167</v>
      </c>
      <c r="C21" s="70"/>
      <c r="D21" s="225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15">
        <f t="shared" si="0"/>
        <v>0</v>
      </c>
      <c r="R21" s="230"/>
      <c r="S21" s="70"/>
      <c r="U21" s="237">
        <v>172</v>
      </c>
      <c r="V21">
        <v>927</v>
      </c>
    </row>
    <row r="22" spans="2:22" x14ac:dyDescent="0.2">
      <c r="B22" t="s">
        <v>166</v>
      </c>
      <c r="C22" s="70"/>
      <c r="D22" s="225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15">
        <f t="shared" si="0"/>
        <v>0</v>
      </c>
      <c r="R22" s="230"/>
      <c r="S22" s="70"/>
      <c r="U22" s="237">
        <v>179</v>
      </c>
      <c r="V22">
        <v>930</v>
      </c>
    </row>
    <row r="23" spans="2:22" x14ac:dyDescent="0.2">
      <c r="B23" t="s">
        <v>156</v>
      </c>
      <c r="C23" s="70"/>
      <c r="D23" s="225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15">
        <f t="shared" si="0"/>
        <v>0</v>
      </c>
      <c r="R23" s="230"/>
      <c r="S23" s="70"/>
      <c r="U23" s="237">
        <v>359</v>
      </c>
      <c r="V23">
        <v>953</v>
      </c>
    </row>
    <row r="24" spans="2:22" x14ac:dyDescent="0.2">
      <c r="B24" t="s">
        <v>158</v>
      </c>
      <c r="C24" s="70"/>
      <c r="D24" s="225"/>
      <c r="E24" s="224">
        <f t="shared" ref="E24:P24" si="2">-E7*0.04</f>
        <v>-23977.676666666663</v>
      </c>
      <c r="F24" s="224">
        <f t="shared" si="2"/>
        <v>-22377.676666666663</v>
      </c>
      <c r="G24" s="224">
        <f t="shared" si="2"/>
        <v>-22377.676666666663</v>
      </c>
      <c r="H24" s="224">
        <f t="shared" si="2"/>
        <v>-22377.676666666663</v>
      </c>
      <c r="I24" s="224">
        <f t="shared" si="2"/>
        <v>-22830.026666666668</v>
      </c>
      <c r="J24" s="224">
        <f t="shared" si="2"/>
        <v>-22830.026666666668</v>
      </c>
      <c r="K24" s="224">
        <f t="shared" si="2"/>
        <v>-22727.78666666667</v>
      </c>
      <c r="L24" s="224">
        <f t="shared" si="2"/>
        <v>-22727.78666666667</v>
      </c>
      <c r="M24" s="224">
        <f t="shared" si="2"/>
        <v>-22212.506666666672</v>
      </c>
      <c r="N24" s="224">
        <f t="shared" si="2"/>
        <v>-22212.506666666672</v>
      </c>
      <c r="O24" s="224">
        <f t="shared" si="2"/>
        <v>-22212.506666666672</v>
      </c>
      <c r="P24" s="224">
        <f t="shared" si="2"/>
        <v>-22212.506666666672</v>
      </c>
      <c r="Q24" s="215">
        <f t="shared" si="0"/>
        <v>-271076.36000000004</v>
      </c>
      <c r="R24" s="230">
        <f>-R7*0.04</f>
        <v>-270042.05942240002</v>
      </c>
      <c r="S24" s="70">
        <f>-S7*0.04</f>
        <v>-281144.87939929607</v>
      </c>
      <c r="U24" s="237">
        <v>366</v>
      </c>
      <c r="V24">
        <v>936</v>
      </c>
    </row>
    <row r="25" spans="2:22" x14ac:dyDescent="0.2">
      <c r="B25" t="s">
        <v>468</v>
      </c>
      <c r="C25" s="70"/>
      <c r="D25" s="225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15">
        <f>SUM(E25:P25)</f>
        <v>0</v>
      </c>
      <c r="R25" s="230"/>
      <c r="S25" s="70"/>
      <c r="U25" s="237">
        <v>370</v>
      </c>
      <c r="V25">
        <v>938</v>
      </c>
    </row>
    <row r="26" spans="2:22" x14ac:dyDescent="0.2">
      <c r="B26" t="s">
        <v>139</v>
      </c>
      <c r="C26" s="70"/>
      <c r="D26" s="225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15">
        <f t="shared" si="0"/>
        <v>0</v>
      </c>
      <c r="R26" s="230"/>
      <c r="S26" s="70"/>
      <c r="U26" s="237">
        <v>404</v>
      </c>
      <c r="V26">
        <v>942</v>
      </c>
    </row>
    <row r="27" spans="2:22" x14ac:dyDescent="0.2">
      <c r="B27" t="s">
        <v>143</v>
      </c>
      <c r="C27" s="70">
        <v>-1553030</v>
      </c>
      <c r="D27" s="225">
        <v>-1553028</v>
      </c>
      <c r="E27" s="224">
        <f t="shared" ref="E27:P27" si="3">-E7*0.37</f>
        <v>-221793.5091666666</v>
      </c>
      <c r="F27" s="224">
        <f t="shared" si="3"/>
        <v>-206993.5091666666</v>
      </c>
      <c r="G27" s="224">
        <f t="shared" si="3"/>
        <v>-206993.5091666666</v>
      </c>
      <c r="H27" s="224">
        <f t="shared" si="3"/>
        <v>-206993.5091666666</v>
      </c>
      <c r="I27" s="224">
        <f t="shared" si="3"/>
        <v>-211177.7466666667</v>
      </c>
      <c r="J27" s="224">
        <f t="shared" si="3"/>
        <v>-211177.7466666667</v>
      </c>
      <c r="K27" s="224">
        <f t="shared" si="3"/>
        <v>-210232.0266666667</v>
      </c>
      <c r="L27" s="224">
        <f t="shared" si="3"/>
        <v>-210232.0266666667</v>
      </c>
      <c r="M27" s="224">
        <f t="shared" si="3"/>
        <v>-205465.6866666667</v>
      </c>
      <c r="N27" s="224">
        <f t="shared" si="3"/>
        <v>-205465.6866666667</v>
      </c>
      <c r="O27" s="224">
        <f t="shared" si="3"/>
        <v>-205465.6866666667</v>
      </c>
      <c r="P27" s="224">
        <f t="shared" si="3"/>
        <v>-205465.6866666667</v>
      </c>
      <c r="Q27" s="215">
        <f t="shared" si="0"/>
        <v>-2507456.3299999996</v>
      </c>
      <c r="R27" s="230">
        <f>-R7*0.37</f>
        <v>-2497889.0496572</v>
      </c>
      <c r="S27" s="70">
        <f>-S7*0.37</f>
        <v>-2600590.1344434884</v>
      </c>
      <c r="U27" s="237">
        <v>413</v>
      </c>
      <c r="V27">
        <v>909</v>
      </c>
    </row>
    <row r="28" spans="2:22" x14ac:dyDescent="0.2">
      <c r="B28" t="s">
        <v>159</v>
      </c>
      <c r="C28" s="70"/>
      <c r="D28" s="225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15">
        <f t="shared" si="0"/>
        <v>0</v>
      </c>
      <c r="R28" s="230"/>
      <c r="S28" s="70"/>
      <c r="U28" s="237">
        <v>422</v>
      </c>
      <c r="V28">
        <v>948</v>
      </c>
    </row>
    <row r="29" spans="2:22" x14ac:dyDescent="0.2">
      <c r="B29" t="s">
        <v>168</v>
      </c>
      <c r="C29" s="70"/>
      <c r="D29" s="225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15">
        <f t="shared" si="0"/>
        <v>0</v>
      </c>
      <c r="R29" s="230"/>
      <c r="S29" s="70"/>
      <c r="U29" s="237">
        <v>423</v>
      </c>
      <c r="V29">
        <v>949</v>
      </c>
    </row>
    <row r="30" spans="2:22" x14ac:dyDescent="0.2">
      <c r="B30" t="s">
        <v>142</v>
      </c>
      <c r="C30" s="70"/>
      <c r="D30" s="225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15">
        <f t="shared" si="0"/>
        <v>0</v>
      </c>
      <c r="R30" s="230"/>
      <c r="S30" s="70"/>
      <c r="U30" s="237">
        <v>436</v>
      </c>
      <c r="V30">
        <v>951</v>
      </c>
    </row>
    <row r="31" spans="2:22" x14ac:dyDescent="0.2">
      <c r="B31" t="s">
        <v>342</v>
      </c>
      <c r="C31" s="70">
        <v>-173000</v>
      </c>
      <c r="D31" s="225">
        <v>-173004</v>
      </c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15">
        <f>SUM(E31:P31)</f>
        <v>0</v>
      </c>
      <c r="R31" s="230"/>
      <c r="S31" s="70"/>
      <c r="U31" s="237">
        <v>460</v>
      </c>
      <c r="V31">
        <v>946</v>
      </c>
    </row>
    <row r="32" spans="2:22" x14ac:dyDescent="0.2">
      <c r="B32" t="s">
        <v>160</v>
      </c>
      <c r="C32" s="70"/>
      <c r="D32" s="225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15">
        <f t="shared" si="0"/>
        <v>0</v>
      </c>
      <c r="R32" s="230"/>
      <c r="S32" s="70"/>
      <c r="U32" s="237">
        <v>507</v>
      </c>
      <c r="V32">
        <v>958</v>
      </c>
    </row>
    <row r="33" spans="2:22" x14ac:dyDescent="0.2">
      <c r="B33" t="s">
        <v>161</v>
      </c>
      <c r="C33" s="70"/>
      <c r="D33" s="225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15">
        <f t="shared" si="0"/>
        <v>0</v>
      </c>
      <c r="R33" s="230"/>
      <c r="S33" s="70"/>
      <c r="U33" s="237">
        <v>508</v>
      </c>
      <c r="V33">
        <v>959</v>
      </c>
    </row>
    <row r="34" spans="2:22" x14ac:dyDescent="0.2">
      <c r="B34" t="s">
        <v>162</v>
      </c>
      <c r="C34" s="70"/>
      <c r="D34" s="225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15">
        <f t="shared" si="0"/>
        <v>0</v>
      </c>
      <c r="R34" s="230"/>
      <c r="S34" s="70"/>
      <c r="U34" s="237">
        <v>543</v>
      </c>
      <c r="V34">
        <v>965</v>
      </c>
    </row>
    <row r="35" spans="2:22" x14ac:dyDescent="0.2">
      <c r="B35" t="s">
        <v>165</v>
      </c>
      <c r="C35" s="70"/>
      <c r="D35" s="225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15">
        <f t="shared" si="0"/>
        <v>0</v>
      </c>
      <c r="R35" s="230"/>
      <c r="S35" s="70"/>
      <c r="U35" s="237">
        <v>548</v>
      </c>
      <c r="V35">
        <v>973</v>
      </c>
    </row>
    <row r="36" spans="2:22" x14ac:dyDescent="0.2">
      <c r="B36" t="s">
        <v>164</v>
      </c>
      <c r="C36" s="70"/>
      <c r="D36" s="225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15">
        <f t="shared" si="0"/>
        <v>0</v>
      </c>
      <c r="R36" s="230"/>
      <c r="S36" s="70"/>
      <c r="U36" s="237">
        <v>583</v>
      </c>
      <c r="V36">
        <v>981</v>
      </c>
    </row>
    <row r="37" spans="2:22" x14ac:dyDescent="0.2">
      <c r="B37" t="s">
        <v>163</v>
      </c>
      <c r="C37" s="70"/>
      <c r="D37" s="225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15">
        <f t="shared" si="0"/>
        <v>0</v>
      </c>
      <c r="R37" s="230"/>
      <c r="S37" s="70"/>
      <c r="U37" s="237">
        <v>584</v>
      </c>
      <c r="V37">
        <v>983</v>
      </c>
    </row>
    <row r="38" spans="2:22" x14ac:dyDescent="0.2">
      <c r="B38" t="s">
        <v>149</v>
      </c>
      <c r="C38" s="70"/>
      <c r="D38" s="225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15">
        <f t="shared" si="0"/>
        <v>0</v>
      </c>
      <c r="R38" s="230"/>
      <c r="S38" s="70"/>
      <c r="U38" s="237">
        <v>901</v>
      </c>
      <c r="V38">
        <v>910</v>
      </c>
    </row>
    <row r="39" spans="2:22" x14ac:dyDescent="0.2">
      <c r="B39" t="s">
        <v>341</v>
      </c>
      <c r="C39" s="70">
        <v>-470735</v>
      </c>
      <c r="D39" s="225">
        <v>-470736</v>
      </c>
      <c r="E39" s="224">
        <f t="shared" ref="E39:P39" si="4">-E7*0.03</f>
        <v>-17983.257499999996</v>
      </c>
      <c r="F39" s="224">
        <f t="shared" si="4"/>
        <v>-16783.257499999996</v>
      </c>
      <c r="G39" s="224">
        <f t="shared" si="4"/>
        <v>-16783.257499999996</v>
      </c>
      <c r="H39" s="224">
        <f t="shared" si="4"/>
        <v>-16783.257499999996</v>
      </c>
      <c r="I39" s="224">
        <f t="shared" si="4"/>
        <v>-17122.52</v>
      </c>
      <c r="J39" s="224">
        <f t="shared" si="4"/>
        <v>-17122.52</v>
      </c>
      <c r="K39" s="224">
        <f t="shared" si="4"/>
        <v>-17045.84</v>
      </c>
      <c r="L39" s="224">
        <f t="shared" si="4"/>
        <v>-17045.84</v>
      </c>
      <c r="M39" s="224">
        <f t="shared" si="4"/>
        <v>-16659.38</v>
      </c>
      <c r="N39" s="224">
        <f t="shared" si="4"/>
        <v>-16659.38</v>
      </c>
      <c r="O39" s="224">
        <f t="shared" si="4"/>
        <v>-16659.38</v>
      </c>
      <c r="P39" s="224">
        <f t="shared" si="4"/>
        <v>-16659.38</v>
      </c>
      <c r="Q39" s="215">
        <f t="shared" si="0"/>
        <v>-203307.27000000002</v>
      </c>
      <c r="R39" s="230">
        <f>-R7*0.03</f>
        <v>-202531.5445668</v>
      </c>
      <c r="S39" s="70">
        <f>-S7*0.03</f>
        <v>-210858.65954947204</v>
      </c>
      <c r="U39" s="237">
        <v>912</v>
      </c>
      <c r="V39">
        <v>908</v>
      </c>
    </row>
    <row r="40" spans="2:22" x14ac:dyDescent="0.2">
      <c r="B40" t="s">
        <v>335</v>
      </c>
      <c r="C40" s="67"/>
      <c r="D40" s="226"/>
      <c r="Q40" s="215">
        <f>SUM(E40:P40)</f>
        <v>0</v>
      </c>
      <c r="R40" s="230"/>
      <c r="S40" s="70"/>
      <c r="U40" s="237">
        <v>969</v>
      </c>
      <c r="V40">
        <v>988</v>
      </c>
    </row>
    <row r="41" spans="2:22" x14ac:dyDescent="0.2">
      <c r="B41" t="s">
        <v>467</v>
      </c>
      <c r="C41" s="70"/>
      <c r="D41" s="225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15">
        <f>SUM(E41:P41)</f>
        <v>0</v>
      </c>
      <c r="R41" s="230"/>
      <c r="S41" s="70"/>
      <c r="U41" s="237">
        <v>972</v>
      </c>
      <c r="V41">
        <v>925</v>
      </c>
    </row>
    <row r="42" spans="2:22" x14ac:dyDescent="0.2">
      <c r="B42" t="s">
        <v>145</v>
      </c>
      <c r="C42" s="70">
        <v>-470735</v>
      </c>
      <c r="D42" s="225">
        <v>-470736</v>
      </c>
      <c r="E42" s="224">
        <f t="shared" ref="E42:P42" si="5">-E7*0.14</f>
        <v>-83921.868333333317</v>
      </c>
      <c r="F42" s="224">
        <f t="shared" si="5"/>
        <v>-78321.868333333317</v>
      </c>
      <c r="G42" s="224">
        <f t="shared" si="5"/>
        <v>-78321.868333333317</v>
      </c>
      <c r="H42" s="224">
        <f t="shared" si="5"/>
        <v>-78321.868333333317</v>
      </c>
      <c r="I42" s="224">
        <f t="shared" si="5"/>
        <v>-79905.093333333352</v>
      </c>
      <c r="J42" s="224">
        <f t="shared" si="5"/>
        <v>-79905.093333333352</v>
      </c>
      <c r="K42" s="224">
        <f t="shared" si="5"/>
        <v>-79547.253333333356</v>
      </c>
      <c r="L42" s="224">
        <f t="shared" si="5"/>
        <v>-79547.253333333356</v>
      </c>
      <c r="M42" s="224">
        <f t="shared" si="5"/>
        <v>-77743.773333333345</v>
      </c>
      <c r="N42" s="224">
        <f t="shared" si="5"/>
        <v>-77743.773333333345</v>
      </c>
      <c r="O42" s="224">
        <f t="shared" si="5"/>
        <v>-77743.773333333345</v>
      </c>
      <c r="P42" s="224">
        <f t="shared" si="5"/>
        <v>-77743.773333333345</v>
      </c>
      <c r="Q42" s="215">
        <f t="shared" si="0"/>
        <v>-948767.26</v>
      </c>
      <c r="R42" s="230">
        <f>-R7*0.14</f>
        <v>-945147.20797840005</v>
      </c>
      <c r="S42" s="70">
        <f>-S7*0.14</f>
        <v>-984007.07789753622</v>
      </c>
      <c r="U42" s="237">
        <v>985</v>
      </c>
      <c r="V42">
        <v>924</v>
      </c>
    </row>
    <row r="43" spans="2:22" x14ac:dyDescent="0.2">
      <c r="B43" t="s">
        <v>515</v>
      </c>
      <c r="C43" s="70">
        <v>-470735</v>
      </c>
      <c r="D43" s="225">
        <v>-470736</v>
      </c>
      <c r="E43" s="224">
        <f t="shared" ref="E43:P43" si="6">-E7*0.12</f>
        <v>-71933.029999999984</v>
      </c>
      <c r="F43" s="224">
        <f t="shared" si="6"/>
        <v>-67133.029999999984</v>
      </c>
      <c r="G43" s="224">
        <f t="shared" si="6"/>
        <v>-67133.029999999984</v>
      </c>
      <c r="H43" s="224">
        <f t="shared" si="6"/>
        <v>-67133.029999999984</v>
      </c>
      <c r="I43" s="224">
        <f t="shared" si="6"/>
        <v>-68490.080000000002</v>
      </c>
      <c r="J43" s="224">
        <f t="shared" si="6"/>
        <v>-68490.080000000002</v>
      </c>
      <c r="K43" s="224">
        <f t="shared" si="6"/>
        <v>-68183.360000000001</v>
      </c>
      <c r="L43" s="224">
        <f t="shared" si="6"/>
        <v>-68183.360000000001</v>
      </c>
      <c r="M43" s="224">
        <f t="shared" si="6"/>
        <v>-66637.52</v>
      </c>
      <c r="N43" s="224">
        <f t="shared" si="6"/>
        <v>-66637.52</v>
      </c>
      <c r="O43" s="224">
        <f t="shared" si="6"/>
        <v>-66637.52</v>
      </c>
      <c r="P43" s="224">
        <f t="shared" si="6"/>
        <v>-66637.52</v>
      </c>
      <c r="Q43" s="215">
        <f t="shared" si="0"/>
        <v>-813229.08000000007</v>
      </c>
      <c r="R43" s="230">
        <f>-R7*0.12</f>
        <v>-810126.17826720001</v>
      </c>
      <c r="S43" s="70">
        <f>-S7*0.12</f>
        <v>-843434.63819788815</v>
      </c>
      <c r="U43" s="237"/>
    </row>
    <row r="44" spans="2:22" x14ac:dyDescent="0.2">
      <c r="B44" t="s">
        <v>466</v>
      </c>
      <c r="C44" s="70"/>
      <c r="D44" s="225"/>
      <c r="E44" s="224">
        <f t="shared" ref="E44:P44" si="7">-E7*0.04</f>
        <v>-23977.676666666663</v>
      </c>
      <c r="F44" s="224">
        <f t="shared" si="7"/>
        <v>-22377.676666666663</v>
      </c>
      <c r="G44" s="224">
        <f t="shared" si="7"/>
        <v>-22377.676666666663</v>
      </c>
      <c r="H44" s="224">
        <f t="shared" si="7"/>
        <v>-22377.676666666663</v>
      </c>
      <c r="I44" s="224">
        <f t="shared" si="7"/>
        <v>-22830.026666666668</v>
      </c>
      <c r="J44" s="224">
        <f t="shared" si="7"/>
        <v>-22830.026666666668</v>
      </c>
      <c r="K44" s="224">
        <f t="shared" si="7"/>
        <v>-22727.78666666667</v>
      </c>
      <c r="L44" s="224">
        <f t="shared" si="7"/>
        <v>-22727.78666666667</v>
      </c>
      <c r="M44" s="224">
        <f t="shared" si="7"/>
        <v>-22212.506666666672</v>
      </c>
      <c r="N44" s="224">
        <f t="shared" si="7"/>
        <v>-22212.506666666672</v>
      </c>
      <c r="O44" s="224">
        <f t="shared" si="7"/>
        <v>-22212.506666666672</v>
      </c>
      <c r="P44" s="224">
        <f t="shared" si="7"/>
        <v>-22212.506666666672</v>
      </c>
      <c r="Q44" s="215">
        <f t="shared" si="0"/>
        <v>-271076.36000000004</v>
      </c>
      <c r="R44" s="230">
        <f>-R7*0.04</f>
        <v>-270042.05942240002</v>
      </c>
      <c r="S44" s="70">
        <f>-S7*0.04</f>
        <v>-281144.87939929607</v>
      </c>
      <c r="U44" s="237" t="s">
        <v>169</v>
      </c>
      <c r="V44">
        <v>922</v>
      </c>
    </row>
    <row r="45" spans="2:22" x14ac:dyDescent="0.2">
      <c r="B45" t="s">
        <v>469</v>
      </c>
      <c r="C45" s="67"/>
      <c r="D45" s="226"/>
      <c r="Q45" s="215">
        <f>SUM(E45:P45)</f>
        <v>0</v>
      </c>
      <c r="R45" s="230"/>
      <c r="S45" s="70"/>
      <c r="U45" s="237" t="s">
        <v>470</v>
      </c>
      <c r="V45">
        <v>991</v>
      </c>
    </row>
    <row r="46" spans="2:22" x14ac:dyDescent="0.2">
      <c r="B46" t="s">
        <v>140</v>
      </c>
      <c r="C46" s="70"/>
      <c r="D46" s="225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15">
        <f t="shared" si="0"/>
        <v>0</v>
      </c>
      <c r="R46" s="230"/>
      <c r="S46" s="70"/>
      <c r="U46" s="237" t="s">
        <v>141</v>
      </c>
      <c r="V46">
        <v>984</v>
      </c>
    </row>
    <row r="47" spans="2:22" x14ac:dyDescent="0.2">
      <c r="B47" t="s">
        <v>150</v>
      </c>
      <c r="C47" s="70"/>
      <c r="D47" s="225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15">
        <f t="shared" si="0"/>
        <v>0</v>
      </c>
      <c r="R47" s="230"/>
      <c r="S47" s="70"/>
      <c r="U47" s="237" t="s">
        <v>151</v>
      </c>
      <c r="V47">
        <v>985</v>
      </c>
    </row>
    <row r="48" spans="2:22" x14ac:dyDescent="0.2">
      <c r="B48" t="s">
        <v>152</v>
      </c>
      <c r="C48" s="70"/>
      <c r="D48" s="225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15">
        <f t="shared" si="0"/>
        <v>0</v>
      </c>
      <c r="R48" s="230"/>
      <c r="S48" s="70"/>
      <c r="U48" s="237" t="s">
        <v>153</v>
      </c>
      <c r="V48">
        <v>921</v>
      </c>
    </row>
    <row r="49" spans="1:22" x14ac:dyDescent="0.2">
      <c r="B49" t="s">
        <v>334</v>
      </c>
      <c r="C49" s="70"/>
      <c r="D49" s="225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15">
        <f>SUM(E49:P49)</f>
        <v>0</v>
      </c>
      <c r="R49" s="230"/>
      <c r="S49" s="70"/>
      <c r="U49" s="237" t="s">
        <v>155</v>
      </c>
      <c r="V49">
        <v>923</v>
      </c>
    </row>
    <row r="50" spans="1:22" x14ac:dyDescent="0.2">
      <c r="B50" t="s">
        <v>472</v>
      </c>
      <c r="C50" s="67"/>
      <c r="D50" s="67"/>
      <c r="F50" s="224"/>
      <c r="P50" s="48"/>
      <c r="Q50" s="215">
        <f t="shared" si="0"/>
        <v>0</v>
      </c>
      <c r="R50" s="230"/>
      <c r="S50" s="70"/>
      <c r="U50" s="237" t="s">
        <v>471</v>
      </c>
      <c r="V50">
        <v>992</v>
      </c>
    </row>
    <row r="51" spans="1:22" ht="15.75" x14ac:dyDescent="0.25">
      <c r="A51" s="5" t="s">
        <v>171</v>
      </c>
      <c r="C51" s="220">
        <f t="shared" ref="C51:S51" si="8">SUM(C10:C50)</f>
        <v>-3138235</v>
      </c>
      <c r="D51" s="220">
        <f t="shared" si="8"/>
        <v>-3138240</v>
      </c>
      <c r="E51" s="41">
        <f t="shared" si="8"/>
        <v>-533503.30583333329</v>
      </c>
      <c r="F51" s="41">
        <f t="shared" si="8"/>
        <v>-497903.30583333323</v>
      </c>
      <c r="G51" s="41">
        <f t="shared" si="8"/>
        <v>-497903.30583333323</v>
      </c>
      <c r="H51" s="41">
        <f t="shared" si="8"/>
        <v>-497903.30583333323</v>
      </c>
      <c r="I51" s="41">
        <f t="shared" si="8"/>
        <v>-507968.0933333335</v>
      </c>
      <c r="J51" s="41">
        <f t="shared" si="8"/>
        <v>-507968.0933333335</v>
      </c>
      <c r="K51" s="41">
        <f t="shared" si="8"/>
        <v>-505693.25333333341</v>
      </c>
      <c r="L51" s="41">
        <f t="shared" si="8"/>
        <v>-505693.25333333341</v>
      </c>
      <c r="M51" s="41">
        <f t="shared" si="8"/>
        <v>-494228.27333333337</v>
      </c>
      <c r="N51" s="41">
        <f t="shared" si="8"/>
        <v>-494228.27333333337</v>
      </c>
      <c r="O51" s="41">
        <f t="shared" si="8"/>
        <v>-494228.27333333337</v>
      </c>
      <c r="P51" s="41">
        <f t="shared" si="8"/>
        <v>-494228.27333333337</v>
      </c>
      <c r="Q51" s="216">
        <f t="shared" si="8"/>
        <v>-6031449.0099999998</v>
      </c>
      <c r="R51" s="216">
        <f t="shared" si="8"/>
        <v>-6008435.8221483994</v>
      </c>
      <c r="S51" s="220">
        <f t="shared" si="8"/>
        <v>-6255473.5666343365</v>
      </c>
    </row>
    <row r="52" spans="1:22" s="48" customFormat="1" x14ac:dyDescent="0.2">
      <c r="A52" s="347"/>
      <c r="U52" s="55"/>
    </row>
    <row r="53" spans="1:22" ht="16.5" thickBot="1" x14ac:dyDescent="0.3">
      <c r="A53" s="42" t="s">
        <v>172</v>
      </c>
      <c r="C53" s="221">
        <f t="shared" ref="C53:S53" si="9">ROUND(+C7+C51,0)</f>
        <v>109</v>
      </c>
      <c r="D53" s="221">
        <f t="shared" si="9"/>
        <v>1142585</v>
      </c>
      <c r="E53" s="40">
        <f t="shared" si="9"/>
        <v>65939</v>
      </c>
      <c r="F53" s="40">
        <f t="shared" si="9"/>
        <v>61539</v>
      </c>
      <c r="G53" s="40">
        <f t="shared" si="9"/>
        <v>61539</v>
      </c>
      <c r="H53" s="40">
        <f t="shared" si="9"/>
        <v>61539</v>
      </c>
      <c r="I53" s="40">
        <f t="shared" si="9"/>
        <v>62783</v>
      </c>
      <c r="J53" s="40">
        <f t="shared" si="9"/>
        <v>62783</v>
      </c>
      <c r="K53" s="40">
        <f t="shared" si="9"/>
        <v>62501</v>
      </c>
      <c r="L53" s="40">
        <f t="shared" si="9"/>
        <v>62501</v>
      </c>
      <c r="M53" s="40">
        <f t="shared" si="9"/>
        <v>61084</v>
      </c>
      <c r="N53" s="40">
        <f t="shared" si="9"/>
        <v>61084</v>
      </c>
      <c r="O53" s="40">
        <f t="shared" si="9"/>
        <v>61084</v>
      </c>
      <c r="P53" s="40">
        <f t="shared" si="9"/>
        <v>61084</v>
      </c>
      <c r="Q53" s="217">
        <f t="shared" si="9"/>
        <v>745460</v>
      </c>
      <c r="R53" s="217">
        <f t="shared" si="9"/>
        <v>742616</v>
      </c>
      <c r="S53" s="221">
        <f t="shared" si="9"/>
        <v>773148</v>
      </c>
    </row>
    <row r="54" spans="1:22" ht="15.75" thickTop="1" x14ac:dyDescent="0.2">
      <c r="A54" s="37"/>
    </row>
    <row r="55" spans="1:22" ht="15.75" x14ac:dyDescent="0.25">
      <c r="A55" s="13" t="s">
        <v>173</v>
      </c>
    </row>
    <row r="57" spans="1:22" x14ac:dyDescent="0.2">
      <c r="B57" s="348" t="s">
        <v>474</v>
      </c>
    </row>
    <row r="62" spans="1:22" s="14" customFormat="1" ht="15.75" x14ac:dyDescent="0.25">
      <c r="A62" s="15" t="s">
        <v>174</v>
      </c>
      <c r="U62" s="65"/>
    </row>
  </sheetData>
  <printOptions horizontalCentered="1"/>
  <pageMargins left="0.25" right="0.25" top="0.5" bottom="0.5" header="0.25" footer="0.25"/>
  <pageSetup scale="48" orientation="landscape" horizontalDpi="4294967292" verticalDpi="300" r:id="rId1"/>
  <headerFooter alignWithMargins="0">
    <oddFooter>&amp;R&amp;8&amp;F&amp;A
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zoomScale="75" workbookViewId="0">
      <pane ySplit="1" topLeftCell="A2" activePane="bottomLeft" state="frozen"/>
      <selection pane="bottomLeft" sqref="A1:A65536"/>
    </sheetView>
  </sheetViews>
  <sheetFormatPr defaultRowHeight="15" x14ac:dyDescent="0.2"/>
  <cols>
    <col min="1" max="1" width="7" style="415" customWidth="1"/>
    <col min="2" max="2" width="12.5546875" style="236" customWidth="1"/>
    <col min="3" max="3" width="11.44140625" style="344" customWidth="1"/>
    <col min="4" max="16" width="8.88671875" style="344"/>
  </cols>
  <sheetData>
    <row r="1" spans="1:16" x14ac:dyDescent="0.2">
      <c r="A1" s="414" t="s">
        <v>336</v>
      </c>
      <c r="B1" s="342" t="s">
        <v>463</v>
      </c>
      <c r="C1" s="343" t="s">
        <v>464</v>
      </c>
      <c r="D1" s="343" t="s">
        <v>276</v>
      </c>
      <c r="E1" s="343">
        <v>1</v>
      </c>
      <c r="F1" s="343">
        <v>2</v>
      </c>
      <c r="G1" s="343">
        <v>3</v>
      </c>
      <c r="H1" s="343">
        <v>4</v>
      </c>
      <c r="I1" s="343">
        <v>5</v>
      </c>
      <c r="J1" s="343">
        <v>6</v>
      </c>
      <c r="K1" s="343">
        <v>7</v>
      </c>
      <c r="L1" s="343">
        <v>8</v>
      </c>
      <c r="M1" s="343">
        <v>9</v>
      </c>
      <c r="N1" s="343">
        <v>10</v>
      </c>
      <c r="O1" s="343">
        <v>11</v>
      </c>
      <c r="P1" s="343">
        <v>12</v>
      </c>
    </row>
    <row r="2" spans="1:16" x14ac:dyDescent="0.2">
      <c r="A2" s="415">
        <f>+Intro!$C$4</f>
        <v>11</v>
      </c>
      <c r="B2" s="236">
        <f>+Intro!$F$4</f>
        <v>100038</v>
      </c>
      <c r="C2" s="344">
        <f>+Detail!B35</f>
        <v>52000500</v>
      </c>
      <c r="D2" s="344">
        <f>+Detail!$R$8</f>
        <v>2000</v>
      </c>
      <c r="E2" s="344">
        <f>+Detail!F35</f>
        <v>370497.24999999988</v>
      </c>
      <c r="F2" s="344">
        <f>+Detail!G35</f>
        <v>370497.24999999988</v>
      </c>
      <c r="G2" s="344">
        <f>+Detail!H35</f>
        <v>370497.24999999988</v>
      </c>
      <c r="H2" s="344">
        <f>+Detail!I35</f>
        <v>370497.24999999988</v>
      </c>
      <c r="I2" s="344">
        <f>+Detail!J35</f>
        <v>385185</v>
      </c>
      <c r="J2" s="344">
        <f>+Detail!K35</f>
        <v>385185</v>
      </c>
      <c r="K2" s="344">
        <f>+Detail!L35</f>
        <v>385185</v>
      </c>
      <c r="L2" s="344">
        <f>+Detail!M35</f>
        <v>385185</v>
      </c>
      <c r="M2" s="344">
        <f>+Detail!N35</f>
        <v>385185</v>
      </c>
      <c r="N2" s="344">
        <f>+Detail!O35</f>
        <v>385185</v>
      </c>
      <c r="O2" s="344">
        <f>+Detail!P35</f>
        <v>385185</v>
      </c>
      <c r="P2" s="344">
        <f>+Detail!Q35</f>
        <v>385185</v>
      </c>
    </row>
    <row r="3" spans="1:16" x14ac:dyDescent="0.2">
      <c r="A3" s="415">
        <f>+Intro!$C$4</f>
        <v>11</v>
      </c>
      <c r="B3" s="236">
        <f>+Intro!$F$4</f>
        <v>100038</v>
      </c>
      <c r="C3" s="344">
        <f>+Detail!B39</f>
        <v>59003000</v>
      </c>
      <c r="D3" s="344">
        <f>+Detail!$R$8</f>
        <v>2000</v>
      </c>
      <c r="E3" s="344">
        <f>+Detail!F39</f>
        <v>71095</v>
      </c>
      <c r="F3" s="344">
        <f>+Detail!G39</f>
        <v>31095</v>
      </c>
      <c r="G3" s="344">
        <f>+Detail!H39</f>
        <v>31095</v>
      </c>
      <c r="H3" s="344">
        <f>+Detail!I39</f>
        <v>31095</v>
      </c>
      <c r="I3" s="344">
        <f>+Detail!J39</f>
        <v>26343</v>
      </c>
      <c r="J3" s="344">
        <f>+Detail!K39</f>
        <v>26343</v>
      </c>
      <c r="K3" s="344">
        <f>+Detail!L39</f>
        <v>23787</v>
      </c>
      <c r="L3" s="344">
        <f>+Detail!M39</f>
        <v>23787</v>
      </c>
      <c r="M3" s="344">
        <f>+Detail!N39</f>
        <v>10905</v>
      </c>
      <c r="N3" s="344">
        <f>+Detail!O39</f>
        <v>10905</v>
      </c>
      <c r="O3" s="344">
        <f>+Detail!P39</f>
        <v>10905</v>
      </c>
      <c r="P3" s="344">
        <f>+Detail!Q39</f>
        <v>10905</v>
      </c>
    </row>
    <row r="4" spans="1:16" x14ac:dyDescent="0.2">
      <c r="A4" s="415">
        <f>+Intro!$C$4</f>
        <v>11</v>
      </c>
      <c r="B4" s="236">
        <f>+Intro!$F$4</f>
        <v>100038</v>
      </c>
      <c r="C4" s="344">
        <f>+Detail!B43</f>
        <v>52001000</v>
      </c>
      <c r="D4" s="344">
        <f>+Detail!$R$8</f>
        <v>2000</v>
      </c>
      <c r="E4" s="344">
        <f>+Detail!F43</f>
        <v>45104</v>
      </c>
      <c r="F4" s="344">
        <f>+Detail!G43</f>
        <v>45104</v>
      </c>
      <c r="G4" s="344">
        <f>+Detail!H43</f>
        <v>45104</v>
      </c>
      <c r="H4" s="344">
        <f>+Detail!I43</f>
        <v>45104</v>
      </c>
      <c r="I4" s="344">
        <f>+Detail!J43</f>
        <v>46477</v>
      </c>
      <c r="J4" s="344">
        <f>+Detail!K43</f>
        <v>46477</v>
      </c>
      <c r="K4" s="344">
        <f>+Detail!L43</f>
        <v>46477</v>
      </c>
      <c r="L4" s="344">
        <f>+Detail!M43</f>
        <v>46477</v>
      </c>
      <c r="M4" s="344">
        <f>+Detail!N43</f>
        <v>46477</v>
      </c>
      <c r="N4" s="344">
        <f>+Detail!O43</f>
        <v>46477</v>
      </c>
      <c r="O4" s="344">
        <f>+Detail!P43</f>
        <v>46477</v>
      </c>
      <c r="P4" s="344">
        <f>+Detail!Q43</f>
        <v>46477</v>
      </c>
    </row>
    <row r="5" spans="1:16" x14ac:dyDescent="0.2">
      <c r="A5" s="415">
        <f>+Intro!$C$4</f>
        <v>11</v>
      </c>
      <c r="B5" s="236">
        <f>+Intro!$F$4</f>
        <v>100038</v>
      </c>
      <c r="C5" s="344">
        <f>+Detail!B47</f>
        <v>52001500</v>
      </c>
      <c r="D5" s="344">
        <f>+Detail!$R$8</f>
        <v>2000</v>
      </c>
      <c r="E5" s="344">
        <f>+Detail!F50</f>
        <v>166.66666666666666</v>
      </c>
      <c r="F5" s="344">
        <f>+Detail!G50</f>
        <v>166.66666666666666</v>
      </c>
      <c r="G5" s="344">
        <f>+Detail!H50</f>
        <v>166.66666666666666</v>
      </c>
      <c r="H5" s="344">
        <f>+Detail!I50</f>
        <v>166.66666666666666</v>
      </c>
      <c r="I5" s="344">
        <f>+Detail!J50</f>
        <v>166.66666666666666</v>
      </c>
      <c r="J5" s="344">
        <f>+Detail!K50</f>
        <v>166.66666666666666</v>
      </c>
      <c r="K5" s="344">
        <f>+Detail!L50</f>
        <v>166.66666666666666</v>
      </c>
      <c r="L5" s="344">
        <f>+Detail!M50</f>
        <v>166.66666666666666</v>
      </c>
      <c r="M5" s="344">
        <f>+Detail!N50</f>
        <v>166.66666666666666</v>
      </c>
      <c r="N5" s="344">
        <f>+Detail!O50</f>
        <v>166.66666666666666</v>
      </c>
      <c r="O5" s="344">
        <f>+Detail!P50</f>
        <v>166.66666666666666</v>
      </c>
      <c r="P5" s="344">
        <f>+Detail!Q50</f>
        <v>166.66666666666666</v>
      </c>
    </row>
    <row r="6" spans="1:16" x14ac:dyDescent="0.2">
      <c r="A6" s="415">
        <f>+Intro!$C$4</f>
        <v>11</v>
      </c>
      <c r="B6" s="236">
        <f>+Intro!$F$4</f>
        <v>100038</v>
      </c>
      <c r="C6" s="344">
        <f>+Detail!B51</f>
        <v>52002000</v>
      </c>
      <c r="D6" s="344">
        <f>+Detail!$R$8</f>
        <v>2000</v>
      </c>
      <c r="E6" s="344">
        <f>+Detail!F54</f>
        <v>1250</v>
      </c>
      <c r="F6" s="344">
        <f>+Detail!G54</f>
        <v>1250</v>
      </c>
      <c r="G6" s="344">
        <f>+Detail!H54</f>
        <v>1250</v>
      </c>
      <c r="H6" s="344">
        <f>+Detail!I54</f>
        <v>1250</v>
      </c>
      <c r="I6" s="344">
        <f>+Detail!J54</f>
        <v>1250</v>
      </c>
      <c r="J6" s="344">
        <f>+Detail!K54</f>
        <v>1250</v>
      </c>
      <c r="K6" s="344">
        <f>+Detail!L54</f>
        <v>1250</v>
      </c>
      <c r="L6" s="344">
        <f>+Detail!M54</f>
        <v>1250</v>
      </c>
      <c r="M6" s="344">
        <f>+Detail!N54</f>
        <v>1250</v>
      </c>
      <c r="N6" s="344">
        <f>+Detail!O54</f>
        <v>1250</v>
      </c>
      <c r="O6" s="344">
        <f>+Detail!P54</f>
        <v>1250</v>
      </c>
      <c r="P6" s="344">
        <f>+Detail!Q54</f>
        <v>1250</v>
      </c>
    </row>
    <row r="7" spans="1:16" x14ac:dyDescent="0.2">
      <c r="A7" s="415">
        <f>+Intro!$C$4</f>
        <v>11</v>
      </c>
      <c r="B7" s="236">
        <f>+Intro!$F$4</f>
        <v>100038</v>
      </c>
      <c r="C7" s="344">
        <f>+Detail!B55</f>
        <v>52002500</v>
      </c>
      <c r="D7" s="344">
        <f>+Detail!$R$8</f>
        <v>2000</v>
      </c>
      <c r="E7" s="344">
        <f>+Detail!F58</f>
        <v>0</v>
      </c>
      <c r="F7" s="344">
        <f>+Detail!G58</f>
        <v>0</v>
      </c>
      <c r="G7" s="344">
        <f>+Detail!H58</f>
        <v>0</v>
      </c>
      <c r="H7" s="344">
        <f>+Detail!I58</f>
        <v>0</v>
      </c>
      <c r="I7" s="344">
        <f>+Detail!J58</f>
        <v>0</v>
      </c>
      <c r="J7" s="344">
        <f>+Detail!K58</f>
        <v>0</v>
      </c>
      <c r="K7" s="344">
        <f>+Detail!L58</f>
        <v>0</v>
      </c>
      <c r="L7" s="344">
        <f>+Detail!M58</f>
        <v>0</v>
      </c>
      <c r="M7" s="344">
        <f>+Detail!N58</f>
        <v>0</v>
      </c>
      <c r="N7" s="344">
        <f>+Detail!O58</f>
        <v>0</v>
      </c>
      <c r="O7" s="344">
        <f>+Detail!P58</f>
        <v>0</v>
      </c>
      <c r="P7" s="344">
        <f>+Detail!Q58</f>
        <v>0</v>
      </c>
    </row>
    <row r="8" spans="1:16" x14ac:dyDescent="0.2">
      <c r="A8" s="415">
        <f>+Intro!$C$4</f>
        <v>11</v>
      </c>
      <c r="B8" s="236">
        <f>+Intro!$F$4</f>
        <v>100038</v>
      </c>
      <c r="C8" s="344">
        <f>+Detail!B59</f>
        <v>52003000</v>
      </c>
      <c r="D8" s="344">
        <f>+Detail!$R$8</f>
        <v>2000</v>
      </c>
      <c r="E8" s="344">
        <f>+Detail!F62</f>
        <v>3862.5</v>
      </c>
      <c r="F8" s="344">
        <f>+Detail!G62</f>
        <v>3862.5</v>
      </c>
      <c r="G8" s="344">
        <f>+Detail!H62</f>
        <v>3862.5</v>
      </c>
      <c r="H8" s="344">
        <f>+Detail!I62</f>
        <v>3862.5</v>
      </c>
      <c r="I8" s="344">
        <f>+Detail!J62</f>
        <v>3862.5</v>
      </c>
      <c r="J8" s="344">
        <f>+Detail!K62</f>
        <v>3862.5</v>
      </c>
      <c r="K8" s="344">
        <f>+Detail!L62</f>
        <v>3862.5</v>
      </c>
      <c r="L8" s="344">
        <f>+Detail!M62</f>
        <v>3862.5</v>
      </c>
      <c r="M8" s="344">
        <f>+Detail!N62</f>
        <v>3862.5</v>
      </c>
      <c r="N8" s="344">
        <f>+Detail!O62</f>
        <v>3862.5</v>
      </c>
      <c r="O8" s="344">
        <f>+Detail!P62</f>
        <v>3862.5</v>
      </c>
      <c r="P8" s="344">
        <f>+Detail!Q62</f>
        <v>3862.5</v>
      </c>
    </row>
    <row r="9" spans="1:16" x14ac:dyDescent="0.2">
      <c r="A9" s="415">
        <f>+Intro!$C$4</f>
        <v>11</v>
      </c>
      <c r="B9" s="236">
        <f>+Intro!$F$4</f>
        <v>100038</v>
      </c>
      <c r="C9" s="344">
        <f>+Detail!B63</f>
        <v>52003500</v>
      </c>
      <c r="D9" s="344">
        <f>+Detail!$R$8</f>
        <v>2000</v>
      </c>
      <c r="E9" s="344">
        <f>+Detail!F66</f>
        <v>2500</v>
      </c>
      <c r="F9" s="344">
        <f>+Detail!G66</f>
        <v>2500</v>
      </c>
      <c r="G9" s="344">
        <f>+Detail!H66</f>
        <v>2500</v>
      </c>
      <c r="H9" s="344">
        <f>+Detail!I66</f>
        <v>2500</v>
      </c>
      <c r="I9" s="344">
        <f>+Detail!J66</f>
        <v>2500</v>
      </c>
      <c r="J9" s="344">
        <f>+Detail!K66</f>
        <v>2500</v>
      </c>
      <c r="K9" s="344">
        <f>+Detail!L66</f>
        <v>2500</v>
      </c>
      <c r="L9" s="344">
        <f>+Detail!M66</f>
        <v>2500</v>
      </c>
      <c r="M9" s="344">
        <f>+Detail!N66</f>
        <v>2500</v>
      </c>
      <c r="N9" s="344">
        <f>+Detail!O66</f>
        <v>2500</v>
      </c>
      <c r="O9" s="344">
        <f>+Detail!P66</f>
        <v>2500</v>
      </c>
      <c r="P9" s="344">
        <f>+Detail!Q66</f>
        <v>2500</v>
      </c>
    </row>
    <row r="10" spans="1:16" x14ac:dyDescent="0.2">
      <c r="A10" s="415">
        <f>+Intro!$C$4</f>
        <v>11</v>
      </c>
      <c r="B10" s="236">
        <f>+Intro!$F$4</f>
        <v>100038</v>
      </c>
      <c r="C10" s="344">
        <f>+Detail!B67</f>
        <v>52004000</v>
      </c>
      <c r="D10" s="344">
        <f>+Detail!$R$8</f>
        <v>2000</v>
      </c>
      <c r="E10" s="344">
        <f>+Detail!F70</f>
        <v>85.5</v>
      </c>
      <c r="F10" s="344">
        <f>+Detail!G70</f>
        <v>85.5</v>
      </c>
      <c r="G10" s="344">
        <f>+Detail!H70</f>
        <v>85.5</v>
      </c>
      <c r="H10" s="344">
        <f>+Detail!I70</f>
        <v>85.5</v>
      </c>
      <c r="I10" s="344">
        <f>+Detail!J70</f>
        <v>85.5</v>
      </c>
      <c r="J10" s="344">
        <f>+Detail!K70</f>
        <v>85.5</v>
      </c>
      <c r="K10" s="344">
        <f>+Detail!L70</f>
        <v>85.5</v>
      </c>
      <c r="L10" s="344">
        <f>+Detail!M70</f>
        <v>85.5</v>
      </c>
      <c r="M10" s="344">
        <f>+Detail!N70</f>
        <v>85.5</v>
      </c>
      <c r="N10" s="344">
        <f>+Detail!O70</f>
        <v>85.5</v>
      </c>
      <c r="O10" s="344">
        <f>+Detail!P70</f>
        <v>85.5</v>
      </c>
      <c r="P10" s="344">
        <f>+Detail!Q70</f>
        <v>85.5</v>
      </c>
    </row>
    <row r="11" spans="1:16" x14ac:dyDescent="0.2">
      <c r="A11" s="415">
        <f>+Intro!$C$4</f>
        <v>11</v>
      </c>
      <c r="B11" s="236">
        <f>+Intro!$F$4</f>
        <v>100038</v>
      </c>
      <c r="C11" s="344">
        <f>+Detail!B71</f>
        <v>52004500</v>
      </c>
      <c r="D11" s="344">
        <f>+Detail!$R$8</f>
        <v>2000</v>
      </c>
      <c r="E11" s="344">
        <f>+Detail!F74</f>
        <v>13333.333333333334</v>
      </c>
      <c r="F11" s="344">
        <f>+Detail!G74</f>
        <v>13333.333333333334</v>
      </c>
      <c r="G11" s="344">
        <f>+Detail!H74</f>
        <v>13333.333333333334</v>
      </c>
      <c r="H11" s="344">
        <f>+Detail!I74</f>
        <v>13333.333333333334</v>
      </c>
      <c r="I11" s="344">
        <f>+Detail!J74</f>
        <v>13333.333333333334</v>
      </c>
      <c r="J11" s="344">
        <f>+Detail!K74</f>
        <v>13333.333333333334</v>
      </c>
      <c r="K11" s="344">
        <f>+Detail!L74</f>
        <v>13333.333333333334</v>
      </c>
      <c r="L11" s="344">
        <f>+Detail!M74</f>
        <v>13333.333333333334</v>
      </c>
      <c r="M11" s="344">
        <f>+Detail!N74</f>
        <v>13333.333333333334</v>
      </c>
      <c r="N11" s="344">
        <f>+Detail!O74</f>
        <v>13333.333333333334</v>
      </c>
      <c r="O11" s="344">
        <f>+Detail!P74</f>
        <v>13333.333333333334</v>
      </c>
      <c r="P11" s="344">
        <f>+Detail!Q74</f>
        <v>13333.333333333334</v>
      </c>
    </row>
    <row r="12" spans="1:16" x14ac:dyDescent="0.2">
      <c r="A12" s="415">
        <f>+Intro!$C$4</f>
        <v>11</v>
      </c>
      <c r="B12" s="236">
        <f>+Intro!$F$4</f>
        <v>100038</v>
      </c>
      <c r="C12" s="344">
        <f>+Detail!B79</f>
        <v>52500500</v>
      </c>
      <c r="D12" s="344">
        <f>+Detail!$R$8</f>
        <v>2000</v>
      </c>
      <c r="E12" s="344">
        <f>+Detail!F82</f>
        <v>3004.5</v>
      </c>
      <c r="F12" s="344">
        <f>+Detail!G82</f>
        <v>3004.5</v>
      </c>
      <c r="G12" s="344">
        <f>+Detail!H82</f>
        <v>3004.5</v>
      </c>
      <c r="H12" s="344">
        <f>+Detail!I82</f>
        <v>3004.5</v>
      </c>
      <c r="I12" s="344">
        <f>+Detail!J82</f>
        <v>3004.5</v>
      </c>
      <c r="J12" s="344">
        <f>+Detail!K82</f>
        <v>3004.5</v>
      </c>
      <c r="K12" s="344">
        <f>+Detail!L82</f>
        <v>3004.5</v>
      </c>
      <c r="L12" s="344">
        <f>+Detail!M82</f>
        <v>3004.5</v>
      </c>
      <c r="M12" s="344">
        <f>+Detail!N82</f>
        <v>3004.5</v>
      </c>
      <c r="N12" s="344">
        <f>+Detail!O82</f>
        <v>3004.5</v>
      </c>
      <c r="O12" s="344">
        <f>+Detail!P82</f>
        <v>3004.5</v>
      </c>
      <c r="P12" s="344">
        <f>+Detail!Q82</f>
        <v>3004.5</v>
      </c>
    </row>
    <row r="13" spans="1:16" x14ac:dyDescent="0.2">
      <c r="A13" s="415">
        <f>+Intro!$C$4</f>
        <v>11</v>
      </c>
      <c r="B13" s="236">
        <f>+Intro!$F$4</f>
        <v>100038</v>
      </c>
      <c r="C13" s="344">
        <f>+Detail!B83</f>
        <v>52501000</v>
      </c>
      <c r="D13" s="344">
        <f>+Detail!$R$8</f>
        <v>2000</v>
      </c>
      <c r="E13" s="344">
        <f>+Detail!F86</f>
        <v>0</v>
      </c>
      <c r="F13" s="344">
        <f>+Detail!G86</f>
        <v>0</v>
      </c>
      <c r="G13" s="344">
        <f>+Detail!H86</f>
        <v>0</v>
      </c>
      <c r="H13" s="344">
        <f>+Detail!I86</f>
        <v>0</v>
      </c>
      <c r="I13" s="344">
        <f>+Detail!J86</f>
        <v>0</v>
      </c>
      <c r="J13" s="344">
        <f>+Detail!K86</f>
        <v>0</v>
      </c>
      <c r="K13" s="344">
        <f>+Detail!L86</f>
        <v>0</v>
      </c>
      <c r="L13" s="344">
        <f>+Detail!M86</f>
        <v>0</v>
      </c>
      <c r="M13" s="344">
        <f>+Detail!N86</f>
        <v>0</v>
      </c>
      <c r="N13" s="344">
        <f>+Detail!O86</f>
        <v>0</v>
      </c>
      <c r="O13" s="344">
        <f>+Detail!P86</f>
        <v>0</v>
      </c>
      <c r="P13" s="344">
        <f>+Detail!Q86</f>
        <v>0</v>
      </c>
    </row>
    <row r="14" spans="1:16" x14ac:dyDescent="0.2">
      <c r="A14" s="415">
        <f>+Intro!$C$4</f>
        <v>11</v>
      </c>
      <c r="B14" s="236">
        <f>+Intro!$F$4</f>
        <v>100038</v>
      </c>
      <c r="C14" s="344">
        <f>+Detail!B87</f>
        <v>52501500</v>
      </c>
      <c r="D14" s="344">
        <f>+Detail!$R$8</f>
        <v>2000</v>
      </c>
      <c r="E14" s="344">
        <f>+Detail!F90</f>
        <v>0</v>
      </c>
      <c r="F14" s="344">
        <f>+Detail!G90</f>
        <v>0</v>
      </c>
      <c r="G14" s="344">
        <f>+Detail!H90</f>
        <v>0</v>
      </c>
      <c r="H14" s="344">
        <f>+Detail!I90</f>
        <v>0</v>
      </c>
      <c r="I14" s="344">
        <f>+Detail!J90</f>
        <v>0</v>
      </c>
      <c r="J14" s="344">
        <f>+Detail!K90</f>
        <v>0</v>
      </c>
      <c r="K14" s="344">
        <f>+Detail!L90</f>
        <v>0</v>
      </c>
      <c r="L14" s="344">
        <f>+Detail!M90</f>
        <v>0</v>
      </c>
      <c r="M14" s="344">
        <f>+Detail!N90</f>
        <v>0</v>
      </c>
      <c r="N14" s="344">
        <f>+Detail!O90</f>
        <v>0</v>
      </c>
      <c r="O14" s="344">
        <f>+Detail!P90</f>
        <v>0</v>
      </c>
      <c r="P14" s="344">
        <f>+Detail!Q90</f>
        <v>0</v>
      </c>
    </row>
    <row r="15" spans="1:16" x14ac:dyDescent="0.2">
      <c r="A15" s="415">
        <f>+Intro!$C$4</f>
        <v>11</v>
      </c>
      <c r="B15" s="236">
        <f>+Intro!$F$4</f>
        <v>100038</v>
      </c>
      <c r="C15" s="344">
        <f>+Detail!B91</f>
        <v>52503500</v>
      </c>
      <c r="D15" s="344">
        <f>+Detail!$R$8</f>
        <v>2000</v>
      </c>
      <c r="E15" s="344">
        <f>+Detail!F94</f>
        <v>333.33333333333331</v>
      </c>
      <c r="F15" s="344">
        <f>+Detail!G94</f>
        <v>333.33333333333331</v>
      </c>
      <c r="G15" s="344">
        <f>+Detail!H94</f>
        <v>333.33333333333331</v>
      </c>
      <c r="H15" s="344">
        <f>+Detail!I94</f>
        <v>333.33333333333331</v>
      </c>
      <c r="I15" s="344">
        <f>+Detail!J94</f>
        <v>333.33333333333331</v>
      </c>
      <c r="J15" s="344">
        <f>+Detail!K94</f>
        <v>333.33333333333331</v>
      </c>
      <c r="K15" s="344">
        <f>+Detail!L94</f>
        <v>333.33333333333331</v>
      </c>
      <c r="L15" s="344">
        <f>+Detail!M94</f>
        <v>333.33333333333331</v>
      </c>
      <c r="M15" s="344">
        <f>+Detail!N94</f>
        <v>333.33333333333331</v>
      </c>
      <c r="N15" s="344">
        <f>+Detail!O94</f>
        <v>333.33333333333331</v>
      </c>
      <c r="O15" s="344">
        <f>+Detail!P94</f>
        <v>333.33333333333331</v>
      </c>
      <c r="P15" s="344">
        <f>+Detail!Q94</f>
        <v>333.33333333333331</v>
      </c>
    </row>
    <row r="16" spans="1:16" x14ac:dyDescent="0.2">
      <c r="A16" s="415">
        <f>+Intro!$C$4</f>
        <v>11</v>
      </c>
      <c r="B16" s="236">
        <f>+Intro!$F$4</f>
        <v>100038</v>
      </c>
      <c r="C16" s="344">
        <f>+Detail!B95</f>
        <v>52504000</v>
      </c>
      <c r="D16" s="344">
        <f>+Detail!$R$8</f>
        <v>2000</v>
      </c>
      <c r="E16" s="344">
        <f>+Detail!F98</f>
        <v>0</v>
      </c>
      <c r="F16" s="344">
        <f>+Detail!G98</f>
        <v>0</v>
      </c>
      <c r="G16" s="344">
        <f>+Detail!H98</f>
        <v>0</v>
      </c>
      <c r="H16" s="344">
        <f>+Detail!I98</f>
        <v>0</v>
      </c>
      <c r="I16" s="344">
        <f>+Detail!J98</f>
        <v>0</v>
      </c>
      <c r="J16" s="344">
        <f>+Detail!K98</f>
        <v>0</v>
      </c>
      <c r="K16" s="344">
        <f>+Detail!L98</f>
        <v>0</v>
      </c>
      <c r="L16" s="344">
        <f>+Detail!M98</f>
        <v>0</v>
      </c>
      <c r="M16" s="344">
        <f>+Detail!N98</f>
        <v>0</v>
      </c>
      <c r="N16" s="344">
        <f>+Detail!O98</f>
        <v>0</v>
      </c>
      <c r="O16" s="344">
        <f>+Detail!P98</f>
        <v>0</v>
      </c>
      <c r="P16" s="344">
        <f>+Detail!Q98</f>
        <v>0</v>
      </c>
    </row>
    <row r="17" spans="1:16" x14ac:dyDescent="0.2">
      <c r="A17" s="415">
        <f>+Intro!$C$4</f>
        <v>11</v>
      </c>
      <c r="B17" s="236">
        <f>+Intro!$F$4</f>
        <v>100038</v>
      </c>
      <c r="C17" s="344">
        <f>+Detail!B99</f>
        <v>52504100</v>
      </c>
      <c r="D17" s="344">
        <f>+Detail!$R$8</f>
        <v>2000</v>
      </c>
      <c r="E17" s="344">
        <f>+Detail!F102</f>
        <v>0</v>
      </c>
      <c r="F17" s="344">
        <f>+Detail!G102</f>
        <v>0</v>
      </c>
      <c r="G17" s="344">
        <f>+Detail!H102</f>
        <v>0</v>
      </c>
      <c r="H17" s="344">
        <f>+Detail!I102</f>
        <v>0</v>
      </c>
      <c r="I17" s="344">
        <f>+Detail!J102</f>
        <v>0</v>
      </c>
      <c r="J17" s="344">
        <f>+Detail!K102</f>
        <v>0</v>
      </c>
      <c r="K17" s="344">
        <f>+Detail!L102</f>
        <v>0</v>
      </c>
      <c r="L17" s="344">
        <f>+Detail!M102</f>
        <v>0</v>
      </c>
      <c r="M17" s="344">
        <f>+Detail!N102</f>
        <v>0</v>
      </c>
      <c r="N17" s="344">
        <f>+Detail!O102</f>
        <v>0</v>
      </c>
      <c r="O17" s="344">
        <f>+Detail!P102</f>
        <v>0</v>
      </c>
      <c r="P17" s="344">
        <f>+Detail!Q102</f>
        <v>0</v>
      </c>
    </row>
    <row r="18" spans="1:16" x14ac:dyDescent="0.2">
      <c r="A18" s="415">
        <f>+Intro!$C$4</f>
        <v>11</v>
      </c>
      <c r="B18" s="236">
        <f>+Intro!$F$4</f>
        <v>100038</v>
      </c>
      <c r="C18" s="344">
        <f>+Detail!B103</f>
        <v>52504200</v>
      </c>
      <c r="D18" s="344">
        <f>+Detail!$R$8</f>
        <v>2000</v>
      </c>
      <c r="E18" s="344">
        <f>+Detail!F106</f>
        <v>0</v>
      </c>
      <c r="F18" s="344">
        <f>+Detail!G106</f>
        <v>0</v>
      </c>
      <c r="G18" s="344">
        <f>+Detail!H106</f>
        <v>0</v>
      </c>
      <c r="H18" s="344">
        <f>+Detail!I106</f>
        <v>0</v>
      </c>
      <c r="I18" s="344">
        <f>+Detail!J106</f>
        <v>0</v>
      </c>
      <c r="J18" s="344">
        <f>+Detail!K106</f>
        <v>0</v>
      </c>
      <c r="K18" s="344">
        <f>+Detail!L106</f>
        <v>0</v>
      </c>
      <c r="L18" s="344">
        <f>+Detail!M106</f>
        <v>0</v>
      </c>
      <c r="M18" s="344">
        <f>+Detail!N106</f>
        <v>0</v>
      </c>
      <c r="N18" s="344">
        <f>+Detail!O106</f>
        <v>0</v>
      </c>
      <c r="O18" s="344">
        <f>+Detail!P106</f>
        <v>0</v>
      </c>
      <c r="P18" s="344">
        <f>+Detail!Q106</f>
        <v>0</v>
      </c>
    </row>
    <row r="19" spans="1:16" x14ac:dyDescent="0.2">
      <c r="A19" s="415">
        <f>+Intro!$C$4</f>
        <v>11</v>
      </c>
      <c r="B19" s="236">
        <f>+Intro!$F$4</f>
        <v>100038</v>
      </c>
      <c r="C19" s="344">
        <f>+Detail!B107</f>
        <v>52504500</v>
      </c>
      <c r="D19" s="344">
        <f>+Detail!$R$8</f>
        <v>2000</v>
      </c>
      <c r="E19" s="344">
        <f>+Detail!F110</f>
        <v>6333.333333333333</v>
      </c>
      <c r="F19" s="344">
        <f>+Detail!G110</f>
        <v>6333.333333333333</v>
      </c>
      <c r="G19" s="344">
        <f>+Detail!H110</f>
        <v>6333.333333333333</v>
      </c>
      <c r="H19" s="344">
        <f>+Detail!I110</f>
        <v>6333.333333333333</v>
      </c>
      <c r="I19" s="344">
        <f>+Detail!J110</f>
        <v>6333.333333333333</v>
      </c>
      <c r="J19" s="344">
        <f>+Detail!K110</f>
        <v>6333.333333333333</v>
      </c>
      <c r="K19" s="344">
        <f>+Detail!L110</f>
        <v>6333.333333333333</v>
      </c>
      <c r="L19" s="344">
        <f>+Detail!M110</f>
        <v>6333.333333333333</v>
      </c>
      <c r="M19" s="344">
        <f>+Detail!N110</f>
        <v>6333.333333333333</v>
      </c>
      <c r="N19" s="344">
        <f>+Detail!O110</f>
        <v>6333.333333333333</v>
      </c>
      <c r="O19" s="344">
        <f>+Detail!P110</f>
        <v>6333.333333333333</v>
      </c>
      <c r="P19" s="344">
        <f>+Detail!Q110</f>
        <v>6333.333333333333</v>
      </c>
    </row>
    <row r="20" spans="1:16" x14ac:dyDescent="0.2">
      <c r="A20" s="415">
        <f>+Intro!$C$4</f>
        <v>11</v>
      </c>
      <c r="B20" s="236">
        <f>+Intro!$F$4</f>
        <v>100038</v>
      </c>
      <c r="C20" s="344">
        <f>+Detail!B111</f>
        <v>52505000</v>
      </c>
      <c r="D20" s="344">
        <f>+Detail!$R$8</f>
        <v>2000</v>
      </c>
      <c r="E20" s="344">
        <f>+Detail!F114</f>
        <v>0</v>
      </c>
      <c r="F20" s="344">
        <f>+Detail!G114</f>
        <v>0</v>
      </c>
      <c r="G20" s="344">
        <f>+Detail!H114</f>
        <v>0</v>
      </c>
      <c r="H20" s="344">
        <f>+Detail!I114</f>
        <v>0</v>
      </c>
      <c r="I20" s="344">
        <f>+Detail!J114</f>
        <v>0</v>
      </c>
      <c r="J20" s="344">
        <f>+Detail!K114</f>
        <v>0</v>
      </c>
      <c r="K20" s="344">
        <f>+Detail!L114</f>
        <v>0</v>
      </c>
      <c r="L20" s="344">
        <f>+Detail!M114</f>
        <v>0</v>
      </c>
      <c r="M20" s="344">
        <f>+Detail!N114</f>
        <v>0</v>
      </c>
      <c r="N20" s="344">
        <f>+Detail!O114</f>
        <v>0</v>
      </c>
      <c r="O20" s="344">
        <f>+Detail!P114</f>
        <v>0</v>
      </c>
      <c r="P20" s="344">
        <f>+Detail!Q114</f>
        <v>0</v>
      </c>
    </row>
    <row r="21" spans="1:16" x14ac:dyDescent="0.2">
      <c r="A21" s="415">
        <f>+Intro!$C$4</f>
        <v>11</v>
      </c>
      <c r="B21" s="236">
        <f>+Intro!$F$4</f>
        <v>100038</v>
      </c>
      <c r="C21" s="344">
        <f>+Detail!B115</f>
        <v>52505500</v>
      </c>
      <c r="D21" s="344">
        <f>+Detail!$R$8</f>
        <v>2000</v>
      </c>
      <c r="E21" s="344">
        <f>+Detail!F118</f>
        <v>0</v>
      </c>
      <c r="F21" s="344">
        <f>+Detail!G118</f>
        <v>0</v>
      </c>
      <c r="G21" s="344">
        <f>+Detail!H118</f>
        <v>0</v>
      </c>
      <c r="H21" s="344">
        <f>+Detail!I118</f>
        <v>0</v>
      </c>
      <c r="I21" s="344">
        <f>+Detail!J118</f>
        <v>0</v>
      </c>
      <c r="J21" s="344">
        <f>+Detail!K118</f>
        <v>0</v>
      </c>
      <c r="K21" s="344">
        <f>+Detail!L118</f>
        <v>0</v>
      </c>
      <c r="L21" s="344">
        <f>+Detail!M118</f>
        <v>0</v>
      </c>
      <c r="M21" s="344">
        <f>+Detail!N118</f>
        <v>0</v>
      </c>
      <c r="N21" s="344">
        <f>+Detail!O118</f>
        <v>0</v>
      </c>
      <c r="O21" s="344">
        <f>+Detail!P118</f>
        <v>0</v>
      </c>
      <c r="P21" s="344">
        <f>+Detail!Q118</f>
        <v>0</v>
      </c>
    </row>
    <row r="22" spans="1:16" x14ac:dyDescent="0.2">
      <c r="A22" s="415">
        <f>+Intro!$C$4</f>
        <v>11</v>
      </c>
      <c r="B22" s="236">
        <f>+Intro!$F$4</f>
        <v>100038</v>
      </c>
      <c r="C22" s="344">
        <f>+Detail!B119</f>
        <v>52506000</v>
      </c>
      <c r="D22" s="344">
        <f>+Detail!$R$8</f>
        <v>2000</v>
      </c>
      <c r="E22" s="344">
        <f>+Detail!F122</f>
        <v>0</v>
      </c>
      <c r="F22" s="344">
        <f>+Detail!G122</f>
        <v>0</v>
      </c>
      <c r="G22" s="344">
        <f>+Detail!H122</f>
        <v>0</v>
      </c>
      <c r="H22" s="344">
        <f>+Detail!I122</f>
        <v>0</v>
      </c>
      <c r="I22" s="344">
        <f>+Detail!J122</f>
        <v>0</v>
      </c>
      <c r="J22" s="344">
        <f>+Detail!K122</f>
        <v>0</v>
      </c>
      <c r="K22" s="344">
        <f>+Detail!L122</f>
        <v>0</v>
      </c>
      <c r="L22" s="344">
        <f>+Detail!M122</f>
        <v>0</v>
      </c>
      <c r="M22" s="344">
        <f>+Detail!N122</f>
        <v>0</v>
      </c>
      <c r="N22" s="344">
        <f>+Detail!O122</f>
        <v>0</v>
      </c>
      <c r="O22" s="344">
        <f>+Detail!P122</f>
        <v>0</v>
      </c>
      <c r="P22" s="344">
        <f>+Detail!Q122</f>
        <v>0</v>
      </c>
    </row>
    <row r="23" spans="1:16" x14ac:dyDescent="0.2">
      <c r="A23" s="415">
        <f>+Intro!$C$4</f>
        <v>11</v>
      </c>
      <c r="B23" s="236">
        <f>+Intro!$F$4</f>
        <v>100038</v>
      </c>
      <c r="C23" s="344">
        <f>+Detail!B123</f>
        <v>52506500</v>
      </c>
      <c r="D23" s="344">
        <f>+Detail!$R$8</f>
        <v>2000</v>
      </c>
      <c r="E23" s="344">
        <f>+Detail!F126</f>
        <v>0</v>
      </c>
      <c r="F23" s="344">
        <f>+Detail!G126</f>
        <v>0</v>
      </c>
      <c r="G23" s="344">
        <f>+Detail!H126</f>
        <v>0</v>
      </c>
      <c r="H23" s="344">
        <f>+Detail!I126</f>
        <v>0</v>
      </c>
      <c r="I23" s="344">
        <f>+Detail!J126</f>
        <v>0</v>
      </c>
      <c r="J23" s="344">
        <f>+Detail!K126</f>
        <v>0</v>
      </c>
      <c r="K23" s="344">
        <f>+Detail!L126</f>
        <v>0</v>
      </c>
      <c r="L23" s="344">
        <f>+Detail!M126</f>
        <v>0</v>
      </c>
      <c r="M23" s="344">
        <f>+Detail!N126</f>
        <v>0</v>
      </c>
      <c r="N23" s="344">
        <f>+Detail!O126</f>
        <v>0</v>
      </c>
      <c r="O23" s="344">
        <f>+Detail!P126</f>
        <v>0</v>
      </c>
      <c r="P23" s="344">
        <f>+Detail!Q126</f>
        <v>0</v>
      </c>
    </row>
    <row r="24" spans="1:16" x14ac:dyDescent="0.2">
      <c r="A24" s="415">
        <f>+Intro!$C$4</f>
        <v>11</v>
      </c>
      <c r="B24" s="236">
        <f>+Intro!$F$4</f>
        <v>100038</v>
      </c>
      <c r="C24" s="344">
        <f>+Detail!B127</f>
        <v>52507000</v>
      </c>
      <c r="D24" s="344">
        <f>+Detail!$R$8</f>
        <v>2000</v>
      </c>
      <c r="E24" s="344">
        <f>+Detail!F130</f>
        <v>257.5</v>
      </c>
      <c r="F24" s="344">
        <f>+Detail!G130</f>
        <v>257.5</v>
      </c>
      <c r="G24" s="344">
        <f>+Detail!H130</f>
        <v>257.5</v>
      </c>
      <c r="H24" s="344">
        <f>+Detail!I130</f>
        <v>257.5</v>
      </c>
      <c r="I24" s="344">
        <f>+Detail!J130</f>
        <v>257.5</v>
      </c>
      <c r="J24" s="344">
        <f>+Detail!K130</f>
        <v>257.5</v>
      </c>
      <c r="K24" s="344">
        <f>+Detail!L130</f>
        <v>257.5</v>
      </c>
      <c r="L24" s="344">
        <f>+Detail!M130</f>
        <v>257.5</v>
      </c>
      <c r="M24" s="344">
        <f>+Detail!N130</f>
        <v>257.5</v>
      </c>
      <c r="N24" s="344">
        <f>+Detail!O130</f>
        <v>257.5</v>
      </c>
      <c r="O24" s="344">
        <f>+Detail!P130</f>
        <v>257.5</v>
      </c>
      <c r="P24" s="344">
        <f>+Detail!Q130</f>
        <v>257.5</v>
      </c>
    </row>
    <row r="25" spans="1:16" x14ac:dyDescent="0.2">
      <c r="A25" s="415">
        <f>+Intro!$C$4</f>
        <v>11</v>
      </c>
      <c r="B25" s="236">
        <f>+Intro!$F$4</f>
        <v>100038</v>
      </c>
      <c r="C25" s="344">
        <f>+Detail!B131</f>
        <v>52507100</v>
      </c>
      <c r="D25" s="344">
        <f>+Detail!$R$8</f>
        <v>2000</v>
      </c>
      <c r="E25" s="344">
        <f>+Detail!F134</f>
        <v>0</v>
      </c>
      <c r="F25" s="344">
        <f>+Detail!G134</f>
        <v>0</v>
      </c>
      <c r="G25" s="344">
        <f>+Detail!H134</f>
        <v>0</v>
      </c>
      <c r="H25" s="344">
        <f>+Detail!I134</f>
        <v>0</v>
      </c>
      <c r="I25" s="344">
        <f>+Detail!J134</f>
        <v>0</v>
      </c>
      <c r="J25" s="344">
        <f>+Detail!K134</f>
        <v>0</v>
      </c>
      <c r="K25" s="344">
        <f>+Detail!L134</f>
        <v>0</v>
      </c>
      <c r="L25" s="344">
        <f>+Detail!M134</f>
        <v>0</v>
      </c>
      <c r="M25" s="344">
        <f>+Detail!N134</f>
        <v>0</v>
      </c>
      <c r="N25" s="344">
        <f>+Detail!O134</f>
        <v>0</v>
      </c>
      <c r="O25" s="344">
        <f>+Detail!P134</f>
        <v>0</v>
      </c>
      <c r="P25" s="344">
        <f>+Detail!Q134</f>
        <v>0</v>
      </c>
    </row>
    <row r="26" spans="1:16" x14ac:dyDescent="0.2">
      <c r="A26" s="415">
        <f>+Intro!$C$4</f>
        <v>11</v>
      </c>
      <c r="B26" s="236">
        <f>+Intro!$F$4</f>
        <v>100038</v>
      </c>
      <c r="C26" s="344">
        <f>+Detail!B135</f>
        <v>52507500</v>
      </c>
      <c r="D26" s="344">
        <f>+Detail!$R$8</f>
        <v>2000</v>
      </c>
      <c r="E26" s="344">
        <f>+Detail!F138</f>
        <v>6316.666666666667</v>
      </c>
      <c r="F26" s="344">
        <f>+Detail!G138</f>
        <v>6316.666666666667</v>
      </c>
      <c r="G26" s="344">
        <f>+Detail!H138</f>
        <v>6316.666666666667</v>
      </c>
      <c r="H26" s="344">
        <f>+Detail!I138</f>
        <v>6316.666666666667</v>
      </c>
      <c r="I26" s="344">
        <f>+Detail!J138</f>
        <v>6316.666666666667</v>
      </c>
      <c r="J26" s="344">
        <f>+Detail!K138</f>
        <v>6316.666666666667</v>
      </c>
      <c r="K26" s="344">
        <f>+Detail!L138</f>
        <v>6316.666666666667</v>
      </c>
      <c r="L26" s="344">
        <f>+Detail!M138</f>
        <v>6316.666666666667</v>
      </c>
      <c r="M26" s="344">
        <f>+Detail!N138</f>
        <v>6316.666666666667</v>
      </c>
      <c r="N26" s="344">
        <f>+Detail!O138</f>
        <v>6316.666666666667</v>
      </c>
      <c r="O26" s="344">
        <f>+Detail!P138</f>
        <v>6316.666666666667</v>
      </c>
      <c r="P26" s="344">
        <f>+Detail!Q138</f>
        <v>6316.666666666667</v>
      </c>
    </row>
    <row r="27" spans="1:16" x14ac:dyDescent="0.2">
      <c r="A27" s="415">
        <f>+Intro!$C$4</f>
        <v>11</v>
      </c>
      <c r="B27" s="236">
        <f>+Intro!$F$4</f>
        <v>100038</v>
      </c>
      <c r="C27" s="344">
        <f>+Detail!B139</f>
        <v>52508000</v>
      </c>
      <c r="D27" s="344">
        <f>+Detail!$R$8</f>
        <v>2000</v>
      </c>
      <c r="E27" s="344">
        <f>+Detail!F142</f>
        <v>10000</v>
      </c>
      <c r="F27" s="344">
        <f>+Detail!G142</f>
        <v>10000</v>
      </c>
      <c r="G27" s="344">
        <f>+Detail!H142</f>
        <v>10000</v>
      </c>
      <c r="H27" s="344">
        <f>+Detail!I142</f>
        <v>10000</v>
      </c>
      <c r="I27" s="344">
        <f>+Detail!J142</f>
        <v>10000</v>
      </c>
      <c r="J27" s="344">
        <f>+Detail!K142</f>
        <v>10000</v>
      </c>
      <c r="K27" s="344">
        <f>+Detail!L142</f>
        <v>10000</v>
      </c>
      <c r="L27" s="344">
        <f>+Detail!M142</f>
        <v>10000</v>
      </c>
      <c r="M27" s="344">
        <f>+Detail!N142</f>
        <v>10000</v>
      </c>
      <c r="N27" s="344">
        <f>+Detail!O142</f>
        <v>10000</v>
      </c>
      <c r="O27" s="344">
        <f>+Detail!P142</f>
        <v>10000</v>
      </c>
      <c r="P27" s="344">
        <f>+Detail!Q142</f>
        <v>10000</v>
      </c>
    </row>
    <row r="28" spans="1:16" x14ac:dyDescent="0.2">
      <c r="A28" s="415">
        <f>+Intro!$C$4</f>
        <v>11</v>
      </c>
      <c r="B28" s="236">
        <f>+Intro!$F$4</f>
        <v>100038</v>
      </c>
      <c r="C28" s="344">
        <f>+Detail!B143</f>
        <v>52508100</v>
      </c>
      <c r="D28" s="344">
        <f>+Detail!$R$8</f>
        <v>2000</v>
      </c>
      <c r="E28" s="344">
        <f>+Detail!F146</f>
        <v>0</v>
      </c>
      <c r="F28" s="344">
        <f>+Detail!G146</f>
        <v>0</v>
      </c>
      <c r="G28" s="344">
        <f>+Detail!H146</f>
        <v>0</v>
      </c>
      <c r="H28" s="344">
        <f>+Detail!I146</f>
        <v>0</v>
      </c>
      <c r="I28" s="344">
        <f>+Detail!J146</f>
        <v>0</v>
      </c>
      <c r="J28" s="344">
        <f>+Detail!K146</f>
        <v>0</v>
      </c>
      <c r="K28" s="344">
        <f>+Detail!L146</f>
        <v>0</v>
      </c>
      <c r="L28" s="344">
        <f>+Detail!M146</f>
        <v>0</v>
      </c>
      <c r="M28" s="344">
        <f>+Detail!N146</f>
        <v>0</v>
      </c>
      <c r="N28" s="344">
        <f>+Detail!O146</f>
        <v>0</v>
      </c>
      <c r="O28" s="344">
        <f>+Detail!P146</f>
        <v>0</v>
      </c>
      <c r="P28" s="344">
        <f>+Detail!Q146</f>
        <v>0</v>
      </c>
    </row>
    <row r="29" spans="1:16" x14ac:dyDescent="0.2">
      <c r="A29" s="415">
        <f>+Intro!$C$4</f>
        <v>11</v>
      </c>
      <c r="B29" s="236">
        <f>+Intro!$F$4</f>
        <v>100038</v>
      </c>
      <c r="C29" s="344">
        <f>+Detail!B147</f>
        <v>52508500</v>
      </c>
      <c r="D29" s="344">
        <f>+Detail!$R$8</f>
        <v>2000</v>
      </c>
      <c r="E29" s="344">
        <f>+Detail!F150</f>
        <v>0</v>
      </c>
      <c r="F29" s="344">
        <f>+Detail!G150</f>
        <v>0</v>
      </c>
      <c r="G29" s="344">
        <f>+Detail!H150</f>
        <v>0</v>
      </c>
      <c r="H29" s="344">
        <f>+Detail!I150</f>
        <v>0</v>
      </c>
      <c r="I29" s="344">
        <f>+Detail!J150</f>
        <v>0</v>
      </c>
      <c r="J29" s="344">
        <f>+Detail!K150</f>
        <v>0</v>
      </c>
      <c r="K29" s="344">
        <f>+Detail!L150</f>
        <v>0</v>
      </c>
      <c r="L29" s="344">
        <f>+Detail!M150</f>
        <v>0</v>
      </c>
      <c r="M29" s="344">
        <f>+Detail!N150</f>
        <v>0</v>
      </c>
      <c r="N29" s="344">
        <f>+Detail!O150</f>
        <v>0</v>
      </c>
      <c r="O29" s="344">
        <f>+Detail!P150</f>
        <v>0</v>
      </c>
      <c r="P29" s="344">
        <f>+Detail!Q150</f>
        <v>0</v>
      </c>
    </row>
    <row r="30" spans="1:16" x14ac:dyDescent="0.2">
      <c r="A30" s="415">
        <f>+Intro!$C$4</f>
        <v>11</v>
      </c>
      <c r="B30" s="236">
        <f>+Intro!$F$4</f>
        <v>100038</v>
      </c>
      <c r="C30" s="344">
        <f>+Detail!B151</f>
        <v>53000000</v>
      </c>
      <c r="D30" s="344">
        <f>+Detail!$R$8</f>
        <v>2000</v>
      </c>
      <c r="E30" s="344">
        <f>+Detail!F154</f>
        <v>0</v>
      </c>
      <c r="F30" s="344">
        <f>+Detail!G154</f>
        <v>0</v>
      </c>
      <c r="G30" s="344">
        <f>+Detail!H154</f>
        <v>0</v>
      </c>
      <c r="H30" s="344">
        <f>+Detail!I154</f>
        <v>0</v>
      </c>
      <c r="I30" s="344">
        <f>+Detail!J154</f>
        <v>0</v>
      </c>
      <c r="J30" s="344">
        <f>+Detail!K154</f>
        <v>0</v>
      </c>
      <c r="K30" s="344">
        <f>+Detail!L154</f>
        <v>0</v>
      </c>
      <c r="L30" s="344">
        <f>+Detail!M154</f>
        <v>0</v>
      </c>
      <c r="M30" s="344">
        <f>+Detail!N154</f>
        <v>0</v>
      </c>
      <c r="N30" s="344">
        <f>+Detail!O154</f>
        <v>0</v>
      </c>
      <c r="O30" s="344">
        <f>+Detail!P154</f>
        <v>0</v>
      </c>
      <c r="P30" s="344">
        <f>+Detail!Q154</f>
        <v>0</v>
      </c>
    </row>
    <row r="31" spans="1:16" x14ac:dyDescent="0.2">
      <c r="A31" s="415">
        <f>+Intro!$C$4</f>
        <v>11</v>
      </c>
      <c r="B31" s="236">
        <f>+Intro!$F$4</f>
        <v>100038</v>
      </c>
      <c r="C31" s="344">
        <f>+Detail!B155</f>
        <v>53101000</v>
      </c>
      <c r="D31" s="344">
        <f>+Detail!$R$8</f>
        <v>2000</v>
      </c>
      <c r="E31" s="344">
        <f>+Detail!F158</f>
        <v>0</v>
      </c>
      <c r="F31" s="344">
        <f>+Detail!G158</f>
        <v>0</v>
      </c>
      <c r="G31" s="344">
        <f>+Detail!H158</f>
        <v>0</v>
      </c>
      <c r="H31" s="344">
        <f>+Detail!I158</f>
        <v>0</v>
      </c>
      <c r="I31" s="344">
        <f>+Detail!J158</f>
        <v>0</v>
      </c>
      <c r="J31" s="344">
        <f>+Detail!K158</f>
        <v>0</v>
      </c>
      <c r="K31" s="344">
        <f>+Detail!L158</f>
        <v>0</v>
      </c>
      <c r="L31" s="344">
        <f>+Detail!M158</f>
        <v>0</v>
      </c>
      <c r="M31" s="344">
        <f>+Detail!N158</f>
        <v>0</v>
      </c>
      <c r="N31" s="344">
        <f>+Detail!O158</f>
        <v>0</v>
      </c>
      <c r="O31" s="344">
        <f>+Detail!P158</f>
        <v>0</v>
      </c>
      <c r="P31" s="344">
        <f>+Detail!Q158</f>
        <v>0</v>
      </c>
    </row>
    <row r="32" spans="1:16" x14ac:dyDescent="0.2">
      <c r="A32" s="415">
        <f>+Intro!$C$4</f>
        <v>11</v>
      </c>
      <c r="B32" s="236">
        <f>+Intro!$F$4</f>
        <v>100038</v>
      </c>
      <c r="C32" s="344">
        <f>+Detail!B159</f>
        <v>53102000</v>
      </c>
      <c r="D32" s="344">
        <f>+Detail!$R$8</f>
        <v>2000</v>
      </c>
      <c r="E32" s="344">
        <f>+Detail!F162</f>
        <v>0</v>
      </c>
      <c r="F32" s="344">
        <f>+Detail!G162</f>
        <v>0</v>
      </c>
      <c r="G32" s="344">
        <f>+Detail!H162</f>
        <v>0</v>
      </c>
      <c r="H32" s="344">
        <f>+Detail!I162</f>
        <v>0</v>
      </c>
      <c r="I32" s="344">
        <f>+Detail!J162</f>
        <v>0</v>
      </c>
      <c r="J32" s="344">
        <f>+Detail!K162</f>
        <v>0</v>
      </c>
      <c r="K32" s="344">
        <f>+Detail!L162</f>
        <v>0</v>
      </c>
      <c r="L32" s="344">
        <f>+Detail!M162</f>
        <v>0</v>
      </c>
      <c r="M32" s="344">
        <f>+Detail!N162</f>
        <v>0</v>
      </c>
      <c r="N32" s="344">
        <f>+Detail!O162</f>
        <v>0</v>
      </c>
      <c r="O32" s="344">
        <f>+Detail!P162</f>
        <v>0</v>
      </c>
      <c r="P32" s="344">
        <f>+Detail!Q162</f>
        <v>0</v>
      </c>
    </row>
    <row r="33" spans="1:16" x14ac:dyDescent="0.2">
      <c r="A33" s="415">
        <f>+Intro!$C$4</f>
        <v>11</v>
      </c>
      <c r="B33" s="236">
        <f>+Intro!$F$4</f>
        <v>100038</v>
      </c>
      <c r="C33" s="344">
        <f>+Detail!B163</f>
        <v>53102100</v>
      </c>
      <c r="D33" s="344">
        <f>+Detail!$R$8</f>
        <v>2000</v>
      </c>
      <c r="E33" s="344">
        <f>+Detail!F166</f>
        <v>0</v>
      </c>
      <c r="F33" s="344">
        <f>+Detail!G166</f>
        <v>0</v>
      </c>
      <c r="G33" s="344">
        <f>+Detail!H166</f>
        <v>0</v>
      </c>
      <c r="H33" s="344">
        <f>+Detail!I166</f>
        <v>0</v>
      </c>
      <c r="I33" s="344">
        <f>+Detail!J166</f>
        <v>0</v>
      </c>
      <c r="J33" s="344">
        <f>+Detail!K166</f>
        <v>0</v>
      </c>
      <c r="K33" s="344">
        <f>+Detail!L166</f>
        <v>0</v>
      </c>
      <c r="L33" s="344">
        <f>+Detail!M166</f>
        <v>0</v>
      </c>
      <c r="M33" s="344">
        <f>+Detail!N166</f>
        <v>0</v>
      </c>
      <c r="N33" s="344">
        <f>+Detail!O166</f>
        <v>0</v>
      </c>
      <c r="O33" s="344">
        <f>+Detail!P166</f>
        <v>0</v>
      </c>
      <c r="P33" s="344">
        <f>+Detail!Q166</f>
        <v>0</v>
      </c>
    </row>
    <row r="34" spans="1:16" x14ac:dyDescent="0.2">
      <c r="A34" s="415">
        <f>+Intro!$C$4</f>
        <v>11</v>
      </c>
      <c r="B34" s="236">
        <f>+Intro!$F$4</f>
        <v>100038</v>
      </c>
      <c r="C34" s="344">
        <f>+Detail!B167</f>
        <v>53200000</v>
      </c>
      <c r="D34" s="344">
        <f>+Detail!$R$8</f>
        <v>2000</v>
      </c>
      <c r="E34" s="344">
        <f>+Detail!F170</f>
        <v>0</v>
      </c>
      <c r="F34" s="344">
        <f>+Detail!G170</f>
        <v>0</v>
      </c>
      <c r="G34" s="344">
        <f>+Detail!H170</f>
        <v>0</v>
      </c>
      <c r="H34" s="344">
        <f>+Detail!I170</f>
        <v>0</v>
      </c>
      <c r="I34" s="344">
        <f>+Detail!J170</f>
        <v>0</v>
      </c>
      <c r="J34" s="344">
        <f>+Detail!K170</f>
        <v>0</v>
      </c>
      <c r="K34" s="344">
        <f>+Detail!L170</f>
        <v>0</v>
      </c>
      <c r="L34" s="344">
        <f>+Detail!M170</f>
        <v>0</v>
      </c>
      <c r="M34" s="344">
        <f>+Detail!N170</f>
        <v>0</v>
      </c>
      <c r="N34" s="344">
        <f>+Detail!O170</f>
        <v>0</v>
      </c>
      <c r="O34" s="344">
        <f>+Detail!P170</f>
        <v>0</v>
      </c>
      <c r="P34" s="344">
        <f>+Detail!Q170</f>
        <v>0</v>
      </c>
    </row>
    <row r="35" spans="1:16" x14ac:dyDescent="0.2">
      <c r="A35" s="415">
        <f>+Intro!$C$4</f>
        <v>11</v>
      </c>
      <c r="B35" s="236">
        <f>+Intro!$F$4</f>
        <v>100038</v>
      </c>
      <c r="C35" s="344">
        <f>+Detail!B171</f>
        <v>53500000</v>
      </c>
      <c r="D35" s="344">
        <f>+Detail!$R$8</f>
        <v>2000</v>
      </c>
      <c r="E35" s="344">
        <f>+Detail!F174</f>
        <v>0</v>
      </c>
      <c r="F35" s="344">
        <f>+Detail!G174</f>
        <v>0</v>
      </c>
      <c r="G35" s="344">
        <f>+Detail!H174</f>
        <v>0</v>
      </c>
      <c r="H35" s="344">
        <f>+Detail!I174</f>
        <v>0</v>
      </c>
      <c r="I35" s="344">
        <f>+Detail!J174</f>
        <v>0</v>
      </c>
      <c r="J35" s="344">
        <f>+Detail!K174</f>
        <v>0</v>
      </c>
      <c r="K35" s="344">
        <f>+Detail!L174</f>
        <v>0</v>
      </c>
      <c r="L35" s="344">
        <f>+Detail!M174</f>
        <v>0</v>
      </c>
      <c r="M35" s="344">
        <f>+Detail!N174</f>
        <v>0</v>
      </c>
      <c r="N35" s="344">
        <f>+Detail!O174</f>
        <v>0</v>
      </c>
      <c r="O35" s="344">
        <f>+Detail!P174</f>
        <v>0</v>
      </c>
      <c r="P35" s="344">
        <f>+Detail!Q174</f>
        <v>0</v>
      </c>
    </row>
    <row r="36" spans="1:16" x14ac:dyDescent="0.2">
      <c r="A36" s="415">
        <f>+Intro!$C$4</f>
        <v>11</v>
      </c>
      <c r="B36" s="236">
        <f>+Intro!$F$4</f>
        <v>100038</v>
      </c>
      <c r="C36" s="344">
        <f>+Detail!B175</f>
        <v>53500500</v>
      </c>
      <c r="D36" s="344">
        <f>+Detail!$R$8</f>
        <v>2000</v>
      </c>
      <c r="E36" s="344">
        <f>+Detail!F178</f>
        <v>0</v>
      </c>
      <c r="F36" s="344">
        <f>+Detail!G178</f>
        <v>0</v>
      </c>
      <c r="G36" s="344">
        <f>+Detail!H178</f>
        <v>0</v>
      </c>
      <c r="H36" s="344">
        <f>+Detail!I178</f>
        <v>0</v>
      </c>
      <c r="I36" s="344">
        <f>+Detail!J178</f>
        <v>0</v>
      </c>
      <c r="J36" s="344">
        <f>+Detail!K178</f>
        <v>0</v>
      </c>
      <c r="K36" s="344">
        <f>+Detail!L178</f>
        <v>0</v>
      </c>
      <c r="L36" s="344">
        <f>+Detail!M178</f>
        <v>0</v>
      </c>
      <c r="M36" s="344">
        <f>+Detail!N178</f>
        <v>0</v>
      </c>
      <c r="N36" s="344">
        <f>+Detail!O178</f>
        <v>0</v>
      </c>
      <c r="O36" s="344">
        <f>+Detail!P178</f>
        <v>0</v>
      </c>
      <c r="P36" s="344">
        <f>+Detail!Q178</f>
        <v>0</v>
      </c>
    </row>
    <row r="37" spans="1:16" x14ac:dyDescent="0.2">
      <c r="A37" s="415">
        <f>+Intro!$C$4</f>
        <v>11</v>
      </c>
      <c r="B37" s="236">
        <f>+Intro!$F$4</f>
        <v>100038</v>
      </c>
      <c r="C37" s="344">
        <f>+Detail!B179</f>
        <v>53550000</v>
      </c>
      <c r="D37" s="344">
        <f>+Detail!$R$8</f>
        <v>2000</v>
      </c>
      <c r="E37" s="344">
        <f>+Detail!F182</f>
        <v>0</v>
      </c>
      <c r="F37" s="344">
        <f>+Detail!G182</f>
        <v>0</v>
      </c>
      <c r="G37" s="344">
        <f>+Detail!H182</f>
        <v>0</v>
      </c>
      <c r="H37" s="344">
        <f>+Detail!I182</f>
        <v>0</v>
      </c>
      <c r="I37" s="344">
        <f>+Detail!J182</f>
        <v>0</v>
      </c>
      <c r="J37" s="344">
        <f>+Detail!K182</f>
        <v>0</v>
      </c>
      <c r="K37" s="344">
        <f>+Detail!L182</f>
        <v>0</v>
      </c>
      <c r="L37" s="344">
        <f>+Detail!M182</f>
        <v>0</v>
      </c>
      <c r="M37" s="344">
        <f>+Detail!N182</f>
        <v>0</v>
      </c>
      <c r="N37" s="344">
        <f>+Detail!O182</f>
        <v>0</v>
      </c>
      <c r="O37" s="344">
        <f>+Detail!P182</f>
        <v>0</v>
      </c>
      <c r="P37" s="344">
        <f>+Detail!Q182</f>
        <v>0</v>
      </c>
    </row>
    <row r="38" spans="1:16" x14ac:dyDescent="0.2">
      <c r="A38" s="415">
        <f>+Intro!$C$4</f>
        <v>11</v>
      </c>
      <c r="B38" s="236">
        <f>+Intro!$F$4</f>
        <v>100038</v>
      </c>
      <c r="C38" s="344">
        <f>+Detail!B183</f>
        <v>53551000</v>
      </c>
      <c r="D38" s="344">
        <f>+Detail!$R$8</f>
        <v>2000</v>
      </c>
      <c r="E38" s="344">
        <f>+Detail!F186</f>
        <v>0</v>
      </c>
      <c r="F38" s="344">
        <f>+Detail!G186</f>
        <v>0</v>
      </c>
      <c r="G38" s="344">
        <f>+Detail!H186</f>
        <v>0</v>
      </c>
      <c r="H38" s="344">
        <f>+Detail!I186</f>
        <v>0</v>
      </c>
      <c r="I38" s="344">
        <f>+Detail!J186</f>
        <v>0</v>
      </c>
      <c r="J38" s="344">
        <f>+Detail!K186</f>
        <v>0</v>
      </c>
      <c r="K38" s="344">
        <f>+Detail!L186</f>
        <v>0</v>
      </c>
      <c r="L38" s="344">
        <f>+Detail!M186</f>
        <v>0</v>
      </c>
      <c r="M38" s="344">
        <f>+Detail!N186</f>
        <v>0</v>
      </c>
      <c r="N38" s="344">
        <f>+Detail!O186</f>
        <v>0</v>
      </c>
      <c r="O38" s="344">
        <f>+Detail!P186</f>
        <v>0</v>
      </c>
      <c r="P38" s="344">
        <f>+Detail!Q186</f>
        <v>0</v>
      </c>
    </row>
    <row r="39" spans="1:16" x14ac:dyDescent="0.2">
      <c r="A39" s="415">
        <f>+Intro!$C$4</f>
        <v>11</v>
      </c>
      <c r="B39" s="236">
        <f>+Intro!$F$4</f>
        <v>100038</v>
      </c>
      <c r="C39" s="344">
        <f>+Detail!B187</f>
        <v>53600000</v>
      </c>
      <c r="D39" s="344">
        <f>+Detail!$R$8</f>
        <v>2000</v>
      </c>
      <c r="E39" s="344">
        <f>+Detail!F190</f>
        <v>7796.333333333333</v>
      </c>
      <c r="F39" s="344">
        <f>+Detail!G190</f>
        <v>7796.333333333333</v>
      </c>
      <c r="G39" s="344">
        <f>+Detail!H190</f>
        <v>7796.333333333333</v>
      </c>
      <c r="H39" s="344">
        <f>+Detail!I190</f>
        <v>7796.333333333333</v>
      </c>
      <c r="I39" s="344">
        <f>+Detail!J190</f>
        <v>7796.333333333333</v>
      </c>
      <c r="J39" s="344">
        <f>+Detail!K190</f>
        <v>7796.333333333333</v>
      </c>
      <c r="K39" s="344">
        <f>+Detail!L190</f>
        <v>7796.333333333333</v>
      </c>
      <c r="L39" s="344">
        <f>+Detail!M190</f>
        <v>7796.333333333333</v>
      </c>
      <c r="M39" s="344">
        <f>+Detail!N190</f>
        <v>7796.333333333333</v>
      </c>
      <c r="N39" s="344">
        <f>+Detail!O190</f>
        <v>7796.333333333333</v>
      </c>
      <c r="O39" s="344">
        <f>+Detail!P190</f>
        <v>7796.333333333333</v>
      </c>
      <c r="P39" s="344">
        <f>+Detail!Q190</f>
        <v>7796.333333333333</v>
      </c>
    </row>
    <row r="40" spans="1:16" x14ac:dyDescent="0.2">
      <c r="A40" s="415">
        <f>+Intro!$C$4</f>
        <v>11</v>
      </c>
      <c r="B40" s="236">
        <f>+Intro!$F$4</f>
        <v>100038</v>
      </c>
      <c r="C40" s="344">
        <f>+Detail!B191</f>
        <v>53800000</v>
      </c>
      <c r="D40" s="344">
        <f>+Detail!$R$8</f>
        <v>2000</v>
      </c>
      <c r="E40" s="344">
        <f>+Detail!F194</f>
        <v>172</v>
      </c>
      <c r="F40" s="344">
        <f>+Detail!G194</f>
        <v>172</v>
      </c>
      <c r="G40" s="344">
        <f>+Detail!H194</f>
        <v>172</v>
      </c>
      <c r="H40" s="344">
        <f>+Detail!I194</f>
        <v>172</v>
      </c>
      <c r="I40" s="344">
        <f>+Detail!J194</f>
        <v>172</v>
      </c>
      <c r="J40" s="344">
        <f>+Detail!K194</f>
        <v>172</v>
      </c>
      <c r="K40" s="344">
        <f>+Detail!L194</f>
        <v>172</v>
      </c>
      <c r="L40" s="344">
        <f>+Detail!M194</f>
        <v>172</v>
      </c>
      <c r="M40" s="344">
        <f>+Detail!N194</f>
        <v>172</v>
      </c>
      <c r="N40" s="344">
        <f>+Detail!O194</f>
        <v>172</v>
      </c>
      <c r="O40" s="344">
        <f>+Detail!P194</f>
        <v>172</v>
      </c>
      <c r="P40" s="344">
        <f>+Detail!Q194</f>
        <v>172</v>
      </c>
    </row>
    <row r="41" spans="1:16" x14ac:dyDescent="0.2">
      <c r="A41" s="415">
        <f>+Intro!$C$4</f>
        <v>11</v>
      </c>
      <c r="B41" s="236">
        <f>+Intro!$F$4</f>
        <v>100038</v>
      </c>
      <c r="C41" s="344">
        <f>+Detail!B195</f>
        <v>53801000</v>
      </c>
      <c r="D41" s="344">
        <f>+Detail!$R$8</f>
        <v>2000</v>
      </c>
      <c r="E41" s="344">
        <f>+Detail!F198</f>
        <v>0</v>
      </c>
      <c r="F41" s="344">
        <f>+Detail!G198</f>
        <v>0</v>
      </c>
      <c r="G41" s="344">
        <f>+Detail!H198</f>
        <v>0</v>
      </c>
      <c r="H41" s="344">
        <f>+Detail!I198</f>
        <v>0</v>
      </c>
      <c r="I41" s="344">
        <f>+Detail!J198</f>
        <v>0</v>
      </c>
      <c r="J41" s="344">
        <f>+Detail!K198</f>
        <v>0</v>
      </c>
      <c r="K41" s="344">
        <f>+Detail!L198</f>
        <v>0</v>
      </c>
      <c r="L41" s="344">
        <f>+Detail!M198</f>
        <v>0</v>
      </c>
      <c r="M41" s="344">
        <f>+Detail!N198</f>
        <v>0</v>
      </c>
      <c r="N41" s="344">
        <f>+Detail!O198</f>
        <v>0</v>
      </c>
      <c r="O41" s="344">
        <f>+Detail!P198</f>
        <v>0</v>
      </c>
      <c r="P41" s="344">
        <f>+Detail!Q198</f>
        <v>0</v>
      </c>
    </row>
    <row r="42" spans="1:16" x14ac:dyDescent="0.2">
      <c r="A42" s="415">
        <f>+Intro!$C$4</f>
        <v>11</v>
      </c>
      <c r="B42" s="236">
        <f>+Intro!$F$4</f>
        <v>100038</v>
      </c>
      <c r="C42" s="344">
        <f>+Detail!B199</f>
        <v>53900000</v>
      </c>
      <c r="D42" s="344">
        <f>+Detail!$R$8</f>
        <v>2000</v>
      </c>
      <c r="E42" s="344">
        <f>+Detail!F202</f>
        <v>0</v>
      </c>
      <c r="F42" s="344">
        <f>+Detail!G202</f>
        <v>0</v>
      </c>
      <c r="G42" s="344">
        <f>+Detail!H202</f>
        <v>0</v>
      </c>
      <c r="H42" s="344">
        <f>+Detail!I202</f>
        <v>0</v>
      </c>
      <c r="I42" s="344">
        <f>+Detail!J202</f>
        <v>0</v>
      </c>
      <c r="J42" s="344">
        <f>+Detail!K202</f>
        <v>0</v>
      </c>
      <c r="K42" s="344">
        <f>+Detail!L202</f>
        <v>0</v>
      </c>
      <c r="L42" s="344">
        <f>+Detail!M202</f>
        <v>0</v>
      </c>
      <c r="M42" s="344">
        <f>+Detail!N202</f>
        <v>0</v>
      </c>
      <c r="N42" s="344">
        <f>+Detail!O202</f>
        <v>0</v>
      </c>
      <c r="O42" s="344">
        <f>+Detail!P202</f>
        <v>0</v>
      </c>
      <c r="P42" s="344">
        <f>+Detail!Q202</f>
        <v>0</v>
      </c>
    </row>
    <row r="43" spans="1:16" x14ac:dyDescent="0.2">
      <c r="A43" s="415">
        <f>+Intro!$C$4</f>
        <v>11</v>
      </c>
      <c r="B43" s="236">
        <f>+Intro!$F$4</f>
        <v>100038</v>
      </c>
      <c r="C43" s="344">
        <f>+Detail!B203</f>
        <v>54000000</v>
      </c>
      <c r="D43" s="344">
        <f>+Detail!$R$8</f>
        <v>2000</v>
      </c>
      <c r="E43" s="344">
        <f>+Detail!F206</f>
        <v>0</v>
      </c>
      <c r="F43" s="344">
        <f>+Detail!G206</f>
        <v>0</v>
      </c>
      <c r="G43" s="344">
        <f>+Detail!H206</f>
        <v>0</v>
      </c>
      <c r="H43" s="344">
        <f>+Detail!I206</f>
        <v>0</v>
      </c>
      <c r="I43" s="344">
        <f>+Detail!J206</f>
        <v>0</v>
      </c>
      <c r="J43" s="344">
        <f>+Detail!K206</f>
        <v>0</v>
      </c>
      <c r="K43" s="344">
        <f>+Detail!L206</f>
        <v>0</v>
      </c>
      <c r="L43" s="344">
        <f>+Detail!M206</f>
        <v>0</v>
      </c>
      <c r="M43" s="344">
        <f>+Detail!N206</f>
        <v>0</v>
      </c>
      <c r="N43" s="344">
        <f>+Detail!O206</f>
        <v>0</v>
      </c>
      <c r="O43" s="344">
        <f>+Detail!P206</f>
        <v>0</v>
      </c>
      <c r="P43" s="344">
        <f>+Detail!Q206</f>
        <v>0</v>
      </c>
    </row>
    <row r="44" spans="1:16" x14ac:dyDescent="0.2">
      <c r="A44" s="415">
        <f>+Intro!$C$4</f>
        <v>11</v>
      </c>
      <c r="B44" s="236">
        <f>+Intro!$F$4</f>
        <v>100038</v>
      </c>
      <c r="C44" s="344">
        <f>+Detail!B216</f>
        <v>52502000</v>
      </c>
      <c r="D44" s="344">
        <f>+Detail!$R$8</f>
        <v>2000</v>
      </c>
      <c r="E44" s="344">
        <f>+Detail!F216</f>
        <v>24704</v>
      </c>
      <c r="F44" s="344">
        <f>+Detail!G216</f>
        <v>24704</v>
      </c>
      <c r="G44" s="344">
        <f>+Detail!H216</f>
        <v>24704</v>
      </c>
      <c r="H44" s="344">
        <f>+Detail!I216</f>
        <v>24704</v>
      </c>
      <c r="I44" s="344">
        <f>+Detail!J216</f>
        <v>24704</v>
      </c>
      <c r="J44" s="344">
        <f>+Detail!K216</f>
        <v>24704</v>
      </c>
      <c r="K44" s="344">
        <f>+Detail!L216</f>
        <v>24704</v>
      </c>
      <c r="L44" s="344">
        <f>+Detail!M216</f>
        <v>24704</v>
      </c>
      <c r="M44" s="344">
        <f>+Detail!N216</f>
        <v>24704</v>
      </c>
      <c r="N44" s="344">
        <f>+Detail!O216</f>
        <v>24704</v>
      </c>
      <c r="O44" s="344">
        <f>+Detail!P216</f>
        <v>24704</v>
      </c>
      <c r="P44" s="344">
        <f>+Detail!Q216</f>
        <v>24704</v>
      </c>
    </row>
    <row r="45" spans="1:16" x14ac:dyDescent="0.2">
      <c r="A45" s="415">
        <f>+Intro!$C$4</f>
        <v>11</v>
      </c>
      <c r="B45" s="236">
        <f>+Intro!$F$4</f>
        <v>100038</v>
      </c>
      <c r="C45" s="344">
        <f>+Detail!B217</f>
        <v>52502500</v>
      </c>
      <c r="D45" s="344">
        <f>+Detail!$R$8</f>
        <v>2000</v>
      </c>
      <c r="E45" s="344">
        <f>+Detail!F217</f>
        <v>16960</v>
      </c>
      <c r="F45" s="344">
        <f>+Detail!G217</f>
        <v>16960</v>
      </c>
      <c r="G45" s="344">
        <f>+Detail!H217</f>
        <v>16960</v>
      </c>
      <c r="H45" s="344">
        <f>+Detail!I217</f>
        <v>16960</v>
      </c>
      <c r="I45" s="344">
        <f>+Detail!J217</f>
        <v>16960</v>
      </c>
      <c r="J45" s="344">
        <f>+Detail!K217</f>
        <v>16960</v>
      </c>
      <c r="K45" s="344">
        <f>+Detail!L217</f>
        <v>16960</v>
      </c>
      <c r="L45" s="344">
        <f>+Detail!M217</f>
        <v>16960</v>
      </c>
      <c r="M45" s="344">
        <f>+Detail!N217</f>
        <v>16960</v>
      </c>
      <c r="N45" s="344">
        <f>+Detail!O217</f>
        <v>16960</v>
      </c>
      <c r="O45" s="344">
        <f>+Detail!P217</f>
        <v>16960</v>
      </c>
      <c r="P45" s="344">
        <f>+Detail!Q217</f>
        <v>16960</v>
      </c>
    </row>
    <row r="46" spans="1:16" x14ac:dyDescent="0.2">
      <c r="A46" s="415">
        <f>+Intro!$C$4</f>
        <v>11</v>
      </c>
      <c r="B46" s="236">
        <f>+Intro!$F$4</f>
        <v>100038</v>
      </c>
      <c r="C46" s="344">
        <f>+Detail!B218</f>
        <v>52503000</v>
      </c>
      <c r="D46" s="344">
        <f>+Detail!$R$8</f>
        <v>2000</v>
      </c>
      <c r="E46" s="344">
        <f>+Detail!F218</f>
        <v>15670</v>
      </c>
      <c r="F46" s="344">
        <f>+Detail!G218</f>
        <v>15670</v>
      </c>
      <c r="G46" s="344">
        <f>+Detail!H218</f>
        <v>15670</v>
      </c>
      <c r="H46" s="344">
        <f>+Detail!I218</f>
        <v>15670</v>
      </c>
      <c r="I46" s="344">
        <f>+Detail!J218</f>
        <v>15670</v>
      </c>
      <c r="J46" s="344">
        <f>+Detail!K218</f>
        <v>15670</v>
      </c>
      <c r="K46" s="344">
        <f>+Detail!L218</f>
        <v>15670</v>
      </c>
      <c r="L46" s="344">
        <f>+Detail!M218</f>
        <v>15670</v>
      </c>
      <c r="M46" s="344">
        <f>+Detail!N218</f>
        <v>15670</v>
      </c>
      <c r="N46" s="344">
        <f>+Detail!O218</f>
        <v>15670</v>
      </c>
      <c r="O46" s="344">
        <f>+Detail!P218</f>
        <v>15670</v>
      </c>
      <c r="P46" s="344">
        <f>+Detail!Q218</f>
        <v>15670</v>
      </c>
    </row>
    <row r="47" spans="1:16" x14ac:dyDescent="0.2">
      <c r="A47" s="415">
        <f>+Intro!$C$4</f>
        <v>11</v>
      </c>
      <c r="B47" s="236">
        <f>+Intro!$F$4</f>
        <v>100038</v>
      </c>
      <c r="C47" s="344">
        <f>+Detail!B223</f>
        <v>45019000</v>
      </c>
      <c r="D47" s="344">
        <f>+Detail!$R$8</f>
        <v>2000</v>
      </c>
      <c r="E47" s="344">
        <f>+Detail!F226</f>
        <v>0</v>
      </c>
      <c r="F47" s="344">
        <f>+Detail!G226</f>
        <v>0</v>
      </c>
      <c r="G47" s="344">
        <f>+Detail!H226</f>
        <v>0</v>
      </c>
      <c r="H47" s="344">
        <f>+Detail!I226</f>
        <v>0</v>
      </c>
      <c r="I47" s="344">
        <f>+Detail!J226</f>
        <v>0</v>
      </c>
      <c r="J47" s="344">
        <f>+Detail!K226</f>
        <v>0</v>
      </c>
      <c r="K47" s="344">
        <f>+Detail!L226</f>
        <v>0</v>
      </c>
      <c r="L47" s="344">
        <f>+Detail!M226</f>
        <v>0</v>
      </c>
      <c r="M47" s="344">
        <f>+Detail!N226</f>
        <v>0</v>
      </c>
      <c r="N47" s="344">
        <f>+Detail!O226</f>
        <v>0</v>
      </c>
      <c r="O47" s="344">
        <f>+Detail!P226</f>
        <v>0</v>
      </c>
      <c r="P47" s="344">
        <f>+Detail!Q226</f>
        <v>0</v>
      </c>
    </row>
    <row r="48" spans="1:16" x14ac:dyDescent="0.2">
      <c r="A48" s="415">
        <f>+Intro!$C$4</f>
        <v>11</v>
      </c>
      <c r="B48" s="236">
        <f>+Intro!$F$4</f>
        <v>100038</v>
      </c>
      <c r="C48" s="344">
        <f>+Detail!B227</f>
        <v>57000000</v>
      </c>
      <c r="D48" s="344">
        <f>+Detail!$R$8</f>
        <v>2000</v>
      </c>
      <c r="E48" s="344">
        <f>+Detail!F230</f>
        <v>0</v>
      </c>
      <c r="F48" s="344">
        <f>+Detail!G230</f>
        <v>0</v>
      </c>
      <c r="G48" s="344">
        <f>+Detail!H230</f>
        <v>0</v>
      </c>
      <c r="H48" s="344">
        <f>+Detail!I230</f>
        <v>0</v>
      </c>
      <c r="I48" s="344">
        <f>+Detail!J230</f>
        <v>0</v>
      </c>
      <c r="J48" s="344">
        <f>+Detail!K230</f>
        <v>0</v>
      </c>
      <c r="K48" s="344">
        <f>+Detail!L230</f>
        <v>0</v>
      </c>
      <c r="L48" s="344">
        <f>+Detail!M230</f>
        <v>0</v>
      </c>
      <c r="M48" s="344">
        <f>+Detail!N230</f>
        <v>0</v>
      </c>
      <c r="N48" s="344">
        <f>+Detail!O230</f>
        <v>0</v>
      </c>
      <c r="O48" s="344">
        <f>+Detail!P230</f>
        <v>0</v>
      </c>
      <c r="P48" s="344">
        <f>+Detail!Q230</f>
        <v>0</v>
      </c>
    </row>
    <row r="49" spans="1:16" x14ac:dyDescent="0.2">
      <c r="A49" s="415">
        <f>+Intro!$C$4</f>
        <v>11</v>
      </c>
      <c r="B49" s="236">
        <f>+Intro!$F$4</f>
        <v>100038</v>
      </c>
      <c r="C49" s="344">
        <f>+Detail!B231</f>
        <v>57000500</v>
      </c>
      <c r="D49" s="344">
        <f>+Detail!$R$8</f>
        <v>2000</v>
      </c>
      <c r="E49" s="344">
        <f>+Detail!F234</f>
        <v>0</v>
      </c>
      <c r="F49" s="344">
        <f>+Detail!G234</f>
        <v>0</v>
      </c>
      <c r="G49" s="344">
        <f>+Detail!H234</f>
        <v>0</v>
      </c>
      <c r="H49" s="344">
        <f>+Detail!I234</f>
        <v>0</v>
      </c>
      <c r="I49" s="344">
        <f>+Detail!J234</f>
        <v>0</v>
      </c>
      <c r="J49" s="344">
        <f>+Detail!K234</f>
        <v>0</v>
      </c>
      <c r="K49" s="344">
        <f>+Detail!L234</f>
        <v>0</v>
      </c>
      <c r="L49" s="344">
        <f>+Detail!M234</f>
        <v>0</v>
      </c>
      <c r="M49" s="344">
        <f>+Detail!N234</f>
        <v>0</v>
      </c>
      <c r="N49" s="344">
        <f>+Detail!O234</f>
        <v>0</v>
      </c>
      <c r="O49" s="344">
        <f>+Detail!P234</f>
        <v>0</v>
      </c>
      <c r="P49" s="344">
        <f>+Detail!Q234</f>
        <v>0</v>
      </c>
    </row>
    <row r="50" spans="1:16" x14ac:dyDescent="0.2">
      <c r="A50" s="415">
        <f>+Intro!$C$4</f>
        <v>11</v>
      </c>
      <c r="B50" s="236">
        <f>+Intro!$F$4</f>
        <v>100038</v>
      </c>
      <c r="C50" s="344">
        <f>+Detail!B235</f>
        <v>57001000</v>
      </c>
      <c r="D50" s="344">
        <f>+Detail!$R$8</f>
        <v>2000</v>
      </c>
      <c r="E50" s="344">
        <f>+Detail!F238</f>
        <v>0</v>
      </c>
      <c r="F50" s="344">
        <f>+Detail!G238</f>
        <v>0</v>
      </c>
      <c r="G50" s="344">
        <f>+Detail!H238</f>
        <v>0</v>
      </c>
      <c r="H50" s="344">
        <f>+Detail!I238</f>
        <v>0</v>
      </c>
      <c r="I50" s="344">
        <f>+Detail!J238</f>
        <v>0</v>
      </c>
      <c r="J50" s="344">
        <f>+Detail!K238</f>
        <v>0</v>
      </c>
      <c r="K50" s="344">
        <f>+Detail!L238</f>
        <v>0</v>
      </c>
      <c r="L50" s="344">
        <f>+Detail!M238</f>
        <v>0</v>
      </c>
      <c r="M50" s="344">
        <f>+Detail!N238</f>
        <v>0</v>
      </c>
      <c r="N50" s="344">
        <f>+Detail!O238</f>
        <v>0</v>
      </c>
      <c r="O50" s="344">
        <f>+Detail!P238</f>
        <v>0</v>
      </c>
      <c r="P50" s="344">
        <f>+Detail!Q238</f>
        <v>0</v>
      </c>
    </row>
    <row r="51" spans="1:16" x14ac:dyDescent="0.2">
      <c r="A51" s="415">
        <f>+Intro!$C$4</f>
        <v>11</v>
      </c>
      <c r="B51" s="236">
        <f>+Intro!$F$4</f>
        <v>100038</v>
      </c>
      <c r="C51" s="344">
        <f>+Detail!B239</f>
        <v>57003000</v>
      </c>
      <c r="D51" s="344">
        <f>+Detail!$R$8</f>
        <v>2000</v>
      </c>
      <c r="E51" s="344">
        <f>+Detail!F242</f>
        <v>0</v>
      </c>
      <c r="F51" s="344">
        <f>+Detail!G242</f>
        <v>0</v>
      </c>
      <c r="G51" s="344">
        <f>+Detail!H242</f>
        <v>0</v>
      </c>
      <c r="H51" s="344">
        <f>+Detail!I242</f>
        <v>0</v>
      </c>
      <c r="I51" s="344">
        <f>+Detail!J242</f>
        <v>0</v>
      </c>
      <c r="J51" s="344">
        <f>+Detail!K242</f>
        <v>0</v>
      </c>
      <c r="K51" s="344">
        <f>+Detail!L242</f>
        <v>0</v>
      </c>
      <c r="L51" s="344">
        <f>+Detail!M242</f>
        <v>0</v>
      </c>
      <c r="M51" s="344">
        <f>+Detail!N242</f>
        <v>0</v>
      </c>
      <c r="N51" s="344">
        <f>+Detail!O242</f>
        <v>0</v>
      </c>
      <c r="O51" s="344">
        <f>+Detail!P242</f>
        <v>0</v>
      </c>
      <c r="P51" s="344">
        <f>+Detail!Q242</f>
        <v>0</v>
      </c>
    </row>
    <row r="52" spans="1:16" x14ac:dyDescent="0.2">
      <c r="A52" s="415">
        <f>+Intro!$C$4</f>
        <v>11</v>
      </c>
      <c r="B52" s="236">
        <f>+Intro!$F$4</f>
        <v>100038</v>
      </c>
      <c r="C52" s="344">
        <f>+Detail!B243</f>
        <v>57003500</v>
      </c>
      <c r="D52" s="344">
        <f>+Detail!$R$8</f>
        <v>2000</v>
      </c>
      <c r="E52" s="344">
        <f>+Detail!F246</f>
        <v>0</v>
      </c>
      <c r="F52" s="344">
        <f>+Detail!G246</f>
        <v>0</v>
      </c>
      <c r="G52" s="344">
        <f>+Detail!H246</f>
        <v>0</v>
      </c>
      <c r="H52" s="344">
        <f>+Detail!I246</f>
        <v>0</v>
      </c>
      <c r="I52" s="344">
        <f>+Detail!J246</f>
        <v>0</v>
      </c>
      <c r="J52" s="344">
        <f>+Detail!K246</f>
        <v>0</v>
      </c>
      <c r="K52" s="344">
        <f>+Detail!L246</f>
        <v>0</v>
      </c>
      <c r="L52" s="344">
        <f>+Detail!M246</f>
        <v>0</v>
      </c>
      <c r="M52" s="344">
        <f>+Detail!N246</f>
        <v>0</v>
      </c>
      <c r="N52" s="344">
        <f>+Detail!O246</f>
        <v>0</v>
      </c>
      <c r="O52" s="344">
        <f>+Detail!P246</f>
        <v>0</v>
      </c>
      <c r="P52" s="344">
        <f>+Detail!Q246</f>
        <v>0</v>
      </c>
    </row>
    <row r="53" spans="1:16" x14ac:dyDescent="0.2">
      <c r="A53" s="415">
        <f>+Intro!$C$4</f>
        <v>11</v>
      </c>
      <c r="B53" s="236">
        <f>+Intro!$F$4</f>
        <v>100038</v>
      </c>
      <c r="C53" s="344">
        <f>+Detail!B247</f>
        <v>57004000</v>
      </c>
      <c r="D53" s="344">
        <f>+Detail!$R$8</f>
        <v>2000</v>
      </c>
      <c r="E53" s="344">
        <f>+Detail!F250</f>
        <v>0</v>
      </c>
      <c r="F53" s="344">
        <f>+Detail!G250</f>
        <v>0</v>
      </c>
      <c r="G53" s="344">
        <f>+Detail!H250</f>
        <v>0</v>
      </c>
      <c r="H53" s="344">
        <f>+Detail!I250</f>
        <v>0</v>
      </c>
      <c r="I53" s="344">
        <f>+Detail!J250</f>
        <v>0</v>
      </c>
      <c r="J53" s="344">
        <f>+Detail!K250</f>
        <v>0</v>
      </c>
      <c r="K53" s="344">
        <f>+Detail!L250</f>
        <v>0</v>
      </c>
      <c r="L53" s="344">
        <f>+Detail!M250</f>
        <v>0</v>
      </c>
      <c r="M53" s="344">
        <f>+Detail!N250</f>
        <v>0</v>
      </c>
      <c r="N53" s="344">
        <f>+Detail!O250</f>
        <v>0</v>
      </c>
      <c r="O53" s="344">
        <f>+Detail!P250</f>
        <v>0</v>
      </c>
      <c r="P53" s="344">
        <f>+Detail!Q250</f>
        <v>0</v>
      </c>
    </row>
    <row r="54" spans="1:16" x14ac:dyDescent="0.2">
      <c r="A54" s="415">
        <f>+Intro!$C$4</f>
        <v>11</v>
      </c>
      <c r="B54" s="236">
        <f>+Intro!$F$4</f>
        <v>100038</v>
      </c>
      <c r="C54" s="344">
        <f>+Detail!B251</f>
        <v>57100000</v>
      </c>
      <c r="D54" s="344">
        <f>+Detail!$R$8</f>
        <v>2000</v>
      </c>
      <c r="E54" s="344">
        <f>+Detail!F254</f>
        <v>0</v>
      </c>
      <c r="F54" s="344">
        <f>+Detail!G254</f>
        <v>0</v>
      </c>
      <c r="G54" s="344">
        <f>+Detail!H254</f>
        <v>0</v>
      </c>
      <c r="H54" s="344">
        <f>+Detail!I254</f>
        <v>0</v>
      </c>
      <c r="I54" s="344">
        <f>+Detail!J254</f>
        <v>0</v>
      </c>
      <c r="J54" s="344">
        <f>+Detail!K254</f>
        <v>0</v>
      </c>
      <c r="K54" s="344">
        <f>+Detail!L254</f>
        <v>0</v>
      </c>
      <c r="L54" s="344">
        <f>+Detail!M254</f>
        <v>0</v>
      </c>
      <c r="M54" s="344">
        <f>+Detail!N254</f>
        <v>0</v>
      </c>
      <c r="N54" s="344">
        <f>+Detail!O254</f>
        <v>0</v>
      </c>
      <c r="O54" s="344">
        <f>+Detail!P254</f>
        <v>0</v>
      </c>
      <c r="P54" s="344">
        <f>+Detail!Q254</f>
        <v>0</v>
      </c>
    </row>
    <row r="55" spans="1:16" x14ac:dyDescent="0.2">
      <c r="A55" s="415">
        <f>+Intro!$C$4</f>
        <v>11</v>
      </c>
      <c r="B55" s="236">
        <f>+Intro!$F$4</f>
        <v>100038</v>
      </c>
      <c r="C55" s="344">
        <f>+Detail!B255</f>
        <v>57200000</v>
      </c>
      <c r="D55" s="344">
        <f>+Detail!$R$8</f>
        <v>2000</v>
      </c>
      <c r="E55" s="344">
        <f>+Detail!F258</f>
        <v>0</v>
      </c>
      <c r="F55" s="344">
        <f>+Detail!G258</f>
        <v>0</v>
      </c>
      <c r="G55" s="344">
        <f>+Detail!H258</f>
        <v>0</v>
      </c>
      <c r="H55" s="344">
        <f>+Detail!I258</f>
        <v>0</v>
      </c>
      <c r="I55" s="344">
        <f>+Detail!J258</f>
        <v>0</v>
      </c>
      <c r="J55" s="344">
        <f>+Detail!K258</f>
        <v>0</v>
      </c>
      <c r="K55" s="344">
        <f>+Detail!L258</f>
        <v>0</v>
      </c>
      <c r="L55" s="344">
        <f>+Detail!M258</f>
        <v>0</v>
      </c>
      <c r="M55" s="344">
        <f>+Detail!N258</f>
        <v>0</v>
      </c>
      <c r="N55" s="344">
        <f>+Detail!O258</f>
        <v>0</v>
      </c>
      <c r="O55" s="344">
        <f>+Detail!P258</f>
        <v>0</v>
      </c>
      <c r="P55" s="344">
        <f>+Detail!Q258</f>
        <v>0</v>
      </c>
    </row>
    <row r="56" spans="1:16" x14ac:dyDescent="0.2">
      <c r="A56" s="415">
        <f>+Intro!$C$4</f>
        <v>11</v>
      </c>
      <c r="B56" s="236">
        <f>+Intro!$F$4</f>
        <v>100038</v>
      </c>
      <c r="C56" s="344">
        <f>+Detail!B259</f>
        <v>57300000</v>
      </c>
      <c r="D56" s="344">
        <f>+Detail!$R$8</f>
        <v>2000</v>
      </c>
      <c r="E56" s="344">
        <f>+Detail!F262</f>
        <v>0</v>
      </c>
      <c r="F56" s="344">
        <f>+Detail!G262</f>
        <v>0</v>
      </c>
      <c r="G56" s="344">
        <f>+Detail!H262</f>
        <v>0</v>
      </c>
      <c r="H56" s="344">
        <f>+Detail!I262</f>
        <v>0</v>
      </c>
      <c r="I56" s="344">
        <f>+Detail!J262</f>
        <v>0</v>
      </c>
      <c r="J56" s="344">
        <f>+Detail!K262</f>
        <v>0</v>
      </c>
      <c r="K56" s="344">
        <f>+Detail!L262</f>
        <v>0</v>
      </c>
      <c r="L56" s="344">
        <f>+Detail!M262</f>
        <v>0</v>
      </c>
      <c r="M56" s="344">
        <f>+Detail!N262</f>
        <v>0</v>
      </c>
      <c r="N56" s="344">
        <f>+Detail!O262</f>
        <v>0</v>
      </c>
      <c r="O56" s="344">
        <f>+Detail!P262</f>
        <v>0</v>
      </c>
      <c r="P56" s="344">
        <f>+Detail!Q262</f>
        <v>0</v>
      </c>
    </row>
    <row r="57" spans="1:16" x14ac:dyDescent="0.2">
      <c r="A57" s="415">
        <f>+Intro!$C$4</f>
        <v>11</v>
      </c>
      <c r="B57" s="236">
        <f>+Intro!$F$4</f>
        <v>100038</v>
      </c>
      <c r="C57" s="344">
        <f>+Detail!B263</f>
        <v>59001000</v>
      </c>
      <c r="D57" s="344">
        <f>+Detail!$R$8</f>
        <v>2000</v>
      </c>
      <c r="E57" s="344">
        <f>+Detail!F266</f>
        <v>0</v>
      </c>
      <c r="F57" s="344">
        <f>+Detail!G266</f>
        <v>0</v>
      </c>
      <c r="G57" s="344">
        <f>+Detail!H266</f>
        <v>0</v>
      </c>
      <c r="H57" s="344">
        <f>+Detail!I266</f>
        <v>0</v>
      </c>
      <c r="I57" s="344">
        <f>+Detail!J266</f>
        <v>0</v>
      </c>
      <c r="J57" s="344">
        <f>+Detail!K266</f>
        <v>0</v>
      </c>
      <c r="K57" s="344">
        <f>+Detail!L266</f>
        <v>0</v>
      </c>
      <c r="L57" s="344">
        <f>+Detail!M266</f>
        <v>0</v>
      </c>
      <c r="M57" s="344">
        <f>+Detail!N266</f>
        <v>0</v>
      </c>
      <c r="N57" s="344">
        <f>+Detail!O266</f>
        <v>0</v>
      </c>
      <c r="O57" s="344">
        <f>+Detail!P266</f>
        <v>0</v>
      </c>
      <c r="P57" s="344">
        <f>+Detail!Q266</f>
        <v>0</v>
      </c>
    </row>
    <row r="58" spans="1:16" x14ac:dyDescent="0.2">
      <c r="A58" s="415">
        <f>+Intro!$C$4</f>
        <v>11</v>
      </c>
      <c r="B58" s="236">
        <f>+Intro!$F$4</f>
        <v>100038</v>
      </c>
      <c r="C58" s="344">
        <f>+Detail!B267</f>
        <v>59001500</v>
      </c>
      <c r="D58" s="344">
        <f>+Detail!$R$8</f>
        <v>2000</v>
      </c>
      <c r="E58" s="344">
        <f>+Detail!F270</f>
        <v>0</v>
      </c>
      <c r="F58" s="344">
        <f>+Detail!G270</f>
        <v>0</v>
      </c>
      <c r="G58" s="344">
        <f>+Detail!H270</f>
        <v>0</v>
      </c>
      <c r="H58" s="344">
        <f>+Detail!I270</f>
        <v>0</v>
      </c>
      <c r="I58" s="344">
        <f>+Detail!J270</f>
        <v>0</v>
      </c>
      <c r="J58" s="344">
        <f>+Detail!K270</f>
        <v>0</v>
      </c>
      <c r="K58" s="344">
        <f>+Detail!L270</f>
        <v>0</v>
      </c>
      <c r="L58" s="344">
        <f>+Detail!M270</f>
        <v>0</v>
      </c>
      <c r="M58" s="344">
        <f>+Detail!N270</f>
        <v>0</v>
      </c>
      <c r="N58" s="344">
        <f>+Detail!O270</f>
        <v>0</v>
      </c>
      <c r="O58" s="344">
        <f>+Detail!P270</f>
        <v>0</v>
      </c>
      <c r="P58" s="344">
        <f>+Detail!Q270</f>
        <v>0</v>
      </c>
    </row>
    <row r="59" spans="1:16" x14ac:dyDescent="0.2">
      <c r="A59" s="415">
        <f>+Intro!$C$4</f>
        <v>11</v>
      </c>
      <c r="B59" s="236">
        <f>+Intro!$F$4</f>
        <v>100038</v>
      </c>
      <c r="C59" s="344">
        <f>+Detail!B271</f>
        <v>59003100</v>
      </c>
      <c r="D59" s="344">
        <f>+Detail!$R$8</f>
        <v>2000</v>
      </c>
      <c r="E59" s="344">
        <f>+Detail!F274</f>
        <v>0</v>
      </c>
      <c r="F59" s="344">
        <f>+Detail!G274</f>
        <v>0</v>
      </c>
      <c r="G59" s="344">
        <f>+Detail!H274</f>
        <v>0</v>
      </c>
      <c r="H59" s="344">
        <f>+Detail!I274</f>
        <v>0</v>
      </c>
      <c r="I59" s="344">
        <f>+Detail!J274</f>
        <v>0</v>
      </c>
      <c r="J59" s="344">
        <f>+Detail!K274</f>
        <v>0</v>
      </c>
      <c r="K59" s="344">
        <f>+Detail!L274</f>
        <v>0</v>
      </c>
      <c r="L59" s="344">
        <f>+Detail!M274</f>
        <v>0</v>
      </c>
      <c r="M59" s="344">
        <f>+Detail!N274</f>
        <v>0</v>
      </c>
      <c r="N59" s="344">
        <f>+Detail!O274</f>
        <v>0</v>
      </c>
      <c r="O59" s="344">
        <f>+Detail!P274</f>
        <v>0</v>
      </c>
      <c r="P59" s="344">
        <f>+Detail!Q274</f>
        <v>0</v>
      </c>
    </row>
    <row r="60" spans="1:16" x14ac:dyDescent="0.2">
      <c r="A60" s="415">
        <f>+Intro!$C$4</f>
        <v>11</v>
      </c>
      <c r="B60" s="236">
        <f>+Intro!$F$4</f>
        <v>100038</v>
      </c>
      <c r="C60" s="344">
        <f>+Detail!B275</f>
        <v>59003200</v>
      </c>
      <c r="D60" s="344">
        <f>+Detail!$R$8</f>
        <v>2000</v>
      </c>
      <c r="E60" s="344">
        <f>+Detail!F278</f>
        <v>0</v>
      </c>
      <c r="F60" s="344">
        <f>+Detail!G278</f>
        <v>0</v>
      </c>
      <c r="G60" s="344">
        <f>+Detail!H278</f>
        <v>0</v>
      </c>
      <c r="H60" s="344">
        <f>+Detail!I278</f>
        <v>0</v>
      </c>
      <c r="I60" s="344">
        <f>+Detail!J278</f>
        <v>0</v>
      </c>
      <c r="J60" s="344">
        <f>+Detail!K278</f>
        <v>0</v>
      </c>
      <c r="K60" s="344">
        <f>+Detail!L278</f>
        <v>0</v>
      </c>
      <c r="L60" s="344">
        <f>+Detail!M278</f>
        <v>0</v>
      </c>
      <c r="M60" s="344">
        <f>+Detail!N278</f>
        <v>0</v>
      </c>
      <c r="N60" s="344">
        <f>+Detail!O278</f>
        <v>0</v>
      </c>
      <c r="O60" s="344">
        <f>+Detail!P278</f>
        <v>0</v>
      </c>
      <c r="P60" s="344">
        <f>+Detail!Q278</f>
        <v>0</v>
      </c>
    </row>
    <row r="61" spans="1:16" x14ac:dyDescent="0.2">
      <c r="A61" s="415">
        <f>+Intro!$C$4</f>
        <v>11</v>
      </c>
      <c r="B61" s="236">
        <f>+Intro!$F$4</f>
        <v>100038</v>
      </c>
      <c r="C61" s="344">
        <f>+Detail!B279</f>
        <v>59005000</v>
      </c>
      <c r="D61" s="344">
        <f>+Detail!$R$8</f>
        <v>2000</v>
      </c>
      <c r="E61" s="344">
        <f>+Detail!F282</f>
        <v>0</v>
      </c>
      <c r="F61" s="344">
        <f>+Detail!G282</f>
        <v>0</v>
      </c>
      <c r="G61" s="344">
        <f>+Detail!H282</f>
        <v>0</v>
      </c>
      <c r="H61" s="344">
        <f>+Detail!I282</f>
        <v>0</v>
      </c>
      <c r="I61" s="344">
        <f>+Detail!J282</f>
        <v>0</v>
      </c>
      <c r="J61" s="344">
        <f>+Detail!K282</f>
        <v>0</v>
      </c>
      <c r="K61" s="344">
        <f>+Detail!L282</f>
        <v>0</v>
      </c>
      <c r="L61" s="344">
        <f>+Detail!M282</f>
        <v>0</v>
      </c>
      <c r="M61" s="344">
        <f>+Detail!N282</f>
        <v>0</v>
      </c>
      <c r="N61" s="344">
        <f>+Detail!O282</f>
        <v>0</v>
      </c>
      <c r="O61" s="344">
        <f>+Detail!P282</f>
        <v>0</v>
      </c>
      <c r="P61" s="344">
        <f>+Detail!Q282</f>
        <v>0</v>
      </c>
    </row>
    <row r="62" spans="1:16" x14ac:dyDescent="0.2">
      <c r="A62" s="415">
        <f>+Intro!$C$4</f>
        <v>11</v>
      </c>
      <c r="B62" s="236">
        <f>+Intro!$F$4</f>
        <v>100038</v>
      </c>
      <c r="C62" s="344">
        <f>+Detail!B283</f>
        <v>59007000</v>
      </c>
      <c r="D62" s="344">
        <f>+Detail!$R$8</f>
        <v>2000</v>
      </c>
      <c r="E62" s="344">
        <f>+Detail!F286</f>
        <v>0</v>
      </c>
      <c r="F62" s="344">
        <f>+Detail!G286</f>
        <v>0</v>
      </c>
      <c r="G62" s="344">
        <f>+Detail!H286</f>
        <v>0</v>
      </c>
      <c r="H62" s="344">
        <f>+Detail!I286</f>
        <v>0</v>
      </c>
      <c r="I62" s="344">
        <f>+Detail!J286</f>
        <v>0</v>
      </c>
      <c r="J62" s="344">
        <f>+Detail!K286</f>
        <v>0</v>
      </c>
      <c r="K62" s="344">
        <f>+Detail!L286</f>
        <v>0</v>
      </c>
      <c r="L62" s="344">
        <f>+Detail!M286</f>
        <v>0</v>
      </c>
      <c r="M62" s="344">
        <f>+Detail!N286</f>
        <v>0</v>
      </c>
      <c r="N62" s="344">
        <f>+Detail!O286</f>
        <v>0</v>
      </c>
      <c r="O62" s="344">
        <f>+Detail!P286</f>
        <v>0</v>
      </c>
      <c r="P62" s="344">
        <f>+Detail!Q286</f>
        <v>0</v>
      </c>
    </row>
    <row r="63" spans="1:16" x14ac:dyDescent="0.2">
      <c r="A63" s="415">
        <f>+Intro!$C$4</f>
        <v>11</v>
      </c>
      <c r="B63" s="236">
        <f>+Intro!$F$4</f>
        <v>100038</v>
      </c>
      <c r="C63" s="344">
        <f>+Detail!B287</f>
        <v>59008000</v>
      </c>
      <c r="D63" s="344">
        <f>+Detail!$R$8</f>
        <v>2000</v>
      </c>
      <c r="E63" s="344">
        <f>+Detail!F290</f>
        <v>0</v>
      </c>
      <c r="F63" s="344">
        <f>+Detail!G290</f>
        <v>0</v>
      </c>
      <c r="G63" s="344">
        <f>+Detail!H290</f>
        <v>0</v>
      </c>
      <c r="H63" s="344">
        <f>+Detail!I290</f>
        <v>0</v>
      </c>
      <c r="I63" s="344">
        <f>+Detail!J290</f>
        <v>0</v>
      </c>
      <c r="J63" s="344">
        <f>+Detail!K290</f>
        <v>0</v>
      </c>
      <c r="K63" s="344">
        <f>+Detail!L290</f>
        <v>0</v>
      </c>
      <c r="L63" s="344">
        <f>+Detail!M290</f>
        <v>0</v>
      </c>
      <c r="M63" s="344">
        <f>+Detail!N290</f>
        <v>0</v>
      </c>
      <c r="N63" s="344">
        <f>+Detail!O290</f>
        <v>0</v>
      </c>
      <c r="O63" s="344">
        <f>+Detail!P290</f>
        <v>0</v>
      </c>
      <c r="P63" s="344">
        <f>+Detail!Q290</f>
        <v>0</v>
      </c>
    </row>
    <row r="64" spans="1:16" x14ac:dyDescent="0.2">
      <c r="A64" s="415">
        <f>+Intro!$C$4</f>
        <v>11</v>
      </c>
      <c r="B64" s="236">
        <f>+Intro!$F$4</f>
        <v>100038</v>
      </c>
      <c r="C64" s="344">
        <f>+Detail!B291</f>
        <v>59008100</v>
      </c>
      <c r="D64" s="344">
        <f>+Detail!$R$8</f>
        <v>2000</v>
      </c>
      <c r="E64" s="344">
        <f>+Detail!F294</f>
        <v>0</v>
      </c>
      <c r="F64" s="344">
        <f>+Detail!G294</f>
        <v>0</v>
      </c>
      <c r="G64" s="344">
        <f>+Detail!H294</f>
        <v>0</v>
      </c>
      <c r="H64" s="344">
        <f>+Detail!I294</f>
        <v>0</v>
      </c>
      <c r="I64" s="344">
        <f>+Detail!J294</f>
        <v>0</v>
      </c>
      <c r="J64" s="344">
        <f>+Detail!K294</f>
        <v>0</v>
      </c>
      <c r="K64" s="344">
        <f>+Detail!L294</f>
        <v>0</v>
      </c>
      <c r="L64" s="344">
        <f>+Detail!M294</f>
        <v>0</v>
      </c>
      <c r="M64" s="344">
        <f>+Detail!N294</f>
        <v>0</v>
      </c>
      <c r="N64" s="344">
        <f>+Detail!O294</f>
        <v>0</v>
      </c>
      <c r="O64" s="344">
        <f>+Detail!P294</f>
        <v>0</v>
      </c>
      <c r="P64" s="344">
        <f>+Detail!Q294</f>
        <v>0</v>
      </c>
    </row>
    <row r="65" spans="1:16" x14ac:dyDescent="0.2">
      <c r="A65" s="415">
        <f>+Intro!$C$4</f>
        <v>11</v>
      </c>
      <c r="B65" s="236">
        <f>+Intro!$F$4</f>
        <v>100038</v>
      </c>
      <c r="C65" s="344">
        <f>+Detail!B295</f>
        <v>59008200</v>
      </c>
      <c r="D65" s="344">
        <f>+Detail!$R$8</f>
        <v>2000</v>
      </c>
      <c r="E65" s="344">
        <f>+Detail!F298</f>
        <v>0</v>
      </c>
      <c r="F65" s="344">
        <f>+Detail!G298</f>
        <v>0</v>
      </c>
      <c r="G65" s="344">
        <f>+Detail!H298</f>
        <v>0</v>
      </c>
      <c r="H65" s="344">
        <f>+Detail!I298</f>
        <v>0</v>
      </c>
      <c r="I65" s="344">
        <f>+Detail!J298</f>
        <v>0</v>
      </c>
      <c r="J65" s="344">
        <f>+Detail!K298</f>
        <v>0</v>
      </c>
      <c r="K65" s="344">
        <f>+Detail!L298</f>
        <v>0</v>
      </c>
      <c r="L65" s="344">
        <f>+Detail!M298</f>
        <v>0</v>
      </c>
      <c r="M65" s="344">
        <f>+Detail!N298</f>
        <v>0</v>
      </c>
      <c r="N65" s="344">
        <f>+Detail!O298</f>
        <v>0</v>
      </c>
      <c r="O65" s="344">
        <f>+Detail!P298</f>
        <v>0</v>
      </c>
      <c r="P65" s="344">
        <f>+Detail!Q298</f>
        <v>0</v>
      </c>
    </row>
    <row r="66" spans="1:16" x14ac:dyDescent="0.2">
      <c r="A66" s="415">
        <f>+Intro!$C$4</f>
        <v>11</v>
      </c>
      <c r="B66" s="236">
        <f>+Intro!$F$4</f>
        <v>100038</v>
      </c>
      <c r="C66" s="344">
        <f>+Detail!B299</f>
        <v>59099900</v>
      </c>
      <c r="D66" s="344">
        <f>+Detail!$R$8</f>
        <v>2000</v>
      </c>
      <c r="E66" s="344">
        <f>+Detail!F302</f>
        <v>0</v>
      </c>
      <c r="F66" s="344">
        <f>+Detail!G302</f>
        <v>0</v>
      </c>
      <c r="G66" s="344">
        <f>+Detail!H302</f>
        <v>0</v>
      </c>
      <c r="H66" s="344">
        <f>+Detail!I302</f>
        <v>0</v>
      </c>
      <c r="I66" s="344">
        <f>+Detail!J302</f>
        <v>0</v>
      </c>
      <c r="J66" s="344">
        <f>+Detail!K302</f>
        <v>0</v>
      </c>
      <c r="K66" s="344">
        <f>+Detail!L302</f>
        <v>0</v>
      </c>
      <c r="L66" s="344">
        <f>+Detail!M302</f>
        <v>0</v>
      </c>
      <c r="M66" s="344">
        <f>+Detail!N302</f>
        <v>0</v>
      </c>
      <c r="N66" s="344">
        <f>+Detail!O302</f>
        <v>0</v>
      </c>
      <c r="O66" s="344">
        <f>+Detail!P302</f>
        <v>0</v>
      </c>
      <c r="P66" s="344">
        <f>+Detail!Q302</f>
        <v>0</v>
      </c>
    </row>
    <row r="67" spans="1:16" x14ac:dyDescent="0.2">
      <c r="A67" s="415">
        <f>+Intro!$C$4</f>
        <v>11</v>
      </c>
      <c r="B67" s="236">
        <f>+Intro!$F$4</f>
        <v>100038</v>
      </c>
      <c r="C67" s="344">
        <f>+Detail!B303</f>
        <v>59503000</v>
      </c>
      <c r="D67" s="344">
        <f>+Detail!$R$8</f>
        <v>2000</v>
      </c>
      <c r="E67" s="344">
        <f>+Detail!F306</f>
        <v>0</v>
      </c>
      <c r="F67" s="344">
        <f>+Detail!G306</f>
        <v>0</v>
      </c>
      <c r="G67" s="344">
        <f>+Detail!H306</f>
        <v>0</v>
      </c>
      <c r="H67" s="344">
        <f>+Detail!I306</f>
        <v>0</v>
      </c>
      <c r="I67" s="344">
        <f>+Detail!J306</f>
        <v>0</v>
      </c>
      <c r="J67" s="344">
        <f>+Detail!K306</f>
        <v>0</v>
      </c>
      <c r="K67" s="344">
        <f>+Detail!L306</f>
        <v>0</v>
      </c>
      <c r="L67" s="344">
        <f>+Detail!M306</f>
        <v>0</v>
      </c>
      <c r="M67" s="344">
        <f>+Detail!N306</f>
        <v>0</v>
      </c>
      <c r="N67" s="344">
        <f>+Detail!O306</f>
        <v>0</v>
      </c>
      <c r="O67" s="344">
        <f>+Detail!P306</f>
        <v>0</v>
      </c>
      <c r="P67" s="344">
        <f>+Detail!Q306</f>
        <v>0</v>
      </c>
    </row>
    <row r="68" spans="1:16" x14ac:dyDescent="0.2">
      <c r="A68" s="415">
        <f>+Intro!$C$4</f>
        <v>11</v>
      </c>
      <c r="B68" s="236">
        <f>+Intro!$F$4</f>
        <v>100038</v>
      </c>
      <c r="C68" s="344">
        <f>+Detail!B307</f>
        <v>59504000</v>
      </c>
      <c r="D68" s="344">
        <f>+Detail!$R$8</f>
        <v>2000</v>
      </c>
      <c r="E68" s="344">
        <f>+Detail!F310</f>
        <v>0</v>
      </c>
      <c r="F68" s="344">
        <f>+Detail!G310</f>
        <v>0</v>
      </c>
      <c r="G68" s="344">
        <f>+Detail!H310</f>
        <v>0</v>
      </c>
      <c r="H68" s="344">
        <f>+Detail!I310</f>
        <v>0</v>
      </c>
      <c r="I68" s="344">
        <f>+Detail!J310</f>
        <v>0</v>
      </c>
      <c r="J68" s="344">
        <f>+Detail!K310</f>
        <v>0</v>
      </c>
      <c r="K68" s="344">
        <f>+Detail!L310</f>
        <v>0</v>
      </c>
      <c r="L68" s="344">
        <f>+Detail!M310</f>
        <v>0</v>
      </c>
      <c r="M68" s="344">
        <f>+Detail!N310</f>
        <v>0</v>
      </c>
      <c r="N68" s="344">
        <f>+Detail!O310</f>
        <v>0</v>
      </c>
      <c r="O68" s="344">
        <f>+Detail!P310</f>
        <v>0</v>
      </c>
      <c r="P68" s="344">
        <f>+Detail!Q310</f>
        <v>0</v>
      </c>
    </row>
    <row r="69" spans="1:16" x14ac:dyDescent="0.2">
      <c r="A69" s="415">
        <f>+Intro!$C$4</f>
        <v>11</v>
      </c>
      <c r="B69" s="236">
        <f>+Intro!$F$4</f>
        <v>100038</v>
      </c>
      <c r="C69" s="344">
        <f>+Detail!B311</f>
        <v>59900000</v>
      </c>
      <c r="D69" s="344">
        <f>+Detail!$R$8</f>
        <v>2000</v>
      </c>
      <c r="E69" s="344">
        <f>+Detail!F314</f>
        <v>0</v>
      </c>
      <c r="F69" s="344">
        <f>+Detail!G314</f>
        <v>0</v>
      </c>
      <c r="G69" s="344">
        <f>+Detail!H314</f>
        <v>0</v>
      </c>
      <c r="H69" s="344">
        <f>+Detail!I314</f>
        <v>0</v>
      </c>
      <c r="I69" s="344">
        <f>+Detail!J314</f>
        <v>0</v>
      </c>
      <c r="J69" s="344">
        <f>+Detail!K314</f>
        <v>0</v>
      </c>
      <c r="K69" s="344">
        <f>+Detail!L314</f>
        <v>0</v>
      </c>
      <c r="L69" s="344">
        <f>+Detail!M314</f>
        <v>0</v>
      </c>
      <c r="M69" s="344">
        <f>+Detail!N314</f>
        <v>0</v>
      </c>
      <c r="N69" s="344">
        <f>+Detail!O314</f>
        <v>0</v>
      </c>
      <c r="O69" s="344">
        <f>+Detail!P314</f>
        <v>0</v>
      </c>
      <c r="P69" s="344">
        <f>+Detail!Q314</f>
        <v>0</v>
      </c>
    </row>
    <row r="70" spans="1:16" x14ac:dyDescent="0.2">
      <c r="A70" s="415">
        <f>+Intro!$C$4</f>
        <v>11</v>
      </c>
      <c r="B70" s="236">
        <f>+Intro!$F$4</f>
        <v>100038</v>
      </c>
      <c r="C70" s="344">
        <f>+Detail!B315</f>
        <v>59900100</v>
      </c>
      <c r="D70" s="344">
        <f>+Detail!$R$8</f>
        <v>2000</v>
      </c>
      <c r="E70" s="344">
        <f>+Detail!F318</f>
        <v>0</v>
      </c>
      <c r="F70" s="344">
        <f>+Detail!G318</f>
        <v>0</v>
      </c>
      <c r="G70" s="344">
        <f>+Detail!H318</f>
        <v>0</v>
      </c>
      <c r="H70" s="344">
        <f>+Detail!I318</f>
        <v>0</v>
      </c>
      <c r="I70" s="344">
        <f>+Detail!J318</f>
        <v>0</v>
      </c>
      <c r="J70" s="344">
        <f>+Detail!K318</f>
        <v>0</v>
      </c>
      <c r="K70" s="344">
        <f>+Detail!L318</f>
        <v>0</v>
      </c>
      <c r="L70" s="344">
        <f>+Detail!M318</f>
        <v>0</v>
      </c>
      <c r="M70" s="344">
        <f>+Detail!N318</f>
        <v>0</v>
      </c>
      <c r="N70" s="344">
        <f>+Detail!O318</f>
        <v>0</v>
      </c>
      <c r="O70" s="344">
        <f>+Detail!P318</f>
        <v>0</v>
      </c>
      <c r="P70" s="344">
        <f>+Detail!Q318</f>
        <v>0</v>
      </c>
    </row>
    <row r="71" spans="1:16" x14ac:dyDescent="0.2">
      <c r="A71" s="415">
        <f>+Intro!$C$4</f>
        <v>11</v>
      </c>
      <c r="B71" s="236">
        <f>+Intro!$F$4</f>
        <v>100038</v>
      </c>
      <c r="C71" s="344">
        <f>+Detail!B319</f>
        <v>59900200</v>
      </c>
      <c r="D71" s="344">
        <f>+Detail!$R$8</f>
        <v>2000</v>
      </c>
      <c r="E71" s="344">
        <f>+Detail!F322</f>
        <v>0</v>
      </c>
      <c r="F71" s="344">
        <f>+Detail!G322</f>
        <v>0</v>
      </c>
      <c r="G71" s="344">
        <f>+Detail!H322</f>
        <v>0</v>
      </c>
      <c r="H71" s="344">
        <f>+Detail!I322</f>
        <v>0</v>
      </c>
      <c r="I71" s="344">
        <f>+Detail!J322</f>
        <v>0</v>
      </c>
      <c r="J71" s="344">
        <f>+Detail!K322</f>
        <v>0</v>
      </c>
      <c r="K71" s="344">
        <f>+Detail!L322</f>
        <v>0</v>
      </c>
      <c r="L71" s="344">
        <f>+Detail!M322</f>
        <v>0</v>
      </c>
      <c r="M71" s="344">
        <f>+Detail!N322</f>
        <v>0</v>
      </c>
      <c r="N71" s="344">
        <f>+Detail!O322</f>
        <v>0</v>
      </c>
      <c r="O71" s="344">
        <f>+Detail!P322</f>
        <v>0</v>
      </c>
      <c r="P71" s="344">
        <f>+Detail!Q322</f>
        <v>0</v>
      </c>
    </row>
    <row r="72" spans="1:16" x14ac:dyDescent="0.2">
      <c r="A72" s="415">
        <f>+Intro!$C$4</f>
        <v>11</v>
      </c>
      <c r="B72" s="236">
        <f>+Intro!$F$4</f>
        <v>100038</v>
      </c>
      <c r="C72" s="344">
        <f>+Detail!B323</f>
        <v>59900300</v>
      </c>
      <c r="D72" s="344">
        <f>+Detail!$R$8</f>
        <v>2000</v>
      </c>
      <c r="E72" s="344">
        <f>+Detail!F326</f>
        <v>0</v>
      </c>
      <c r="F72" s="344">
        <f>+Detail!G326</f>
        <v>0</v>
      </c>
      <c r="G72" s="344">
        <f>+Detail!H326</f>
        <v>0</v>
      </c>
      <c r="H72" s="344">
        <f>+Detail!I326</f>
        <v>0</v>
      </c>
      <c r="I72" s="344">
        <f>+Detail!J326</f>
        <v>0</v>
      </c>
      <c r="J72" s="344">
        <f>+Detail!K326</f>
        <v>0</v>
      </c>
      <c r="K72" s="344">
        <f>+Detail!L326</f>
        <v>0</v>
      </c>
      <c r="L72" s="344">
        <f>+Detail!M326</f>
        <v>0</v>
      </c>
      <c r="M72" s="344">
        <f>+Detail!N326</f>
        <v>0</v>
      </c>
      <c r="N72" s="344">
        <f>+Detail!O326</f>
        <v>0</v>
      </c>
      <c r="O72" s="344">
        <f>+Detail!P326</f>
        <v>0</v>
      </c>
      <c r="P72" s="344">
        <f>+Detail!Q326</f>
        <v>0</v>
      </c>
    </row>
    <row r="73" spans="1:16" x14ac:dyDescent="0.2">
      <c r="A73" s="415">
        <f>+Intro!$C$4</f>
        <v>11</v>
      </c>
      <c r="B73" s="236">
        <f>+Intro!$F$4</f>
        <v>100038</v>
      </c>
      <c r="C73" s="344">
        <f>+Detail!B327</f>
        <v>59900400</v>
      </c>
      <c r="D73" s="344">
        <f>+Detail!$R$8</f>
        <v>2000</v>
      </c>
      <c r="E73" s="344">
        <f>+Detail!F330</f>
        <v>0</v>
      </c>
      <c r="F73" s="344">
        <f>+Detail!G330</f>
        <v>0</v>
      </c>
      <c r="G73" s="344">
        <f>+Detail!H330</f>
        <v>0</v>
      </c>
      <c r="H73" s="344">
        <f>+Detail!I330</f>
        <v>0</v>
      </c>
      <c r="I73" s="344">
        <f>+Detail!J330</f>
        <v>0</v>
      </c>
      <c r="J73" s="344">
        <f>+Detail!K330</f>
        <v>0</v>
      </c>
      <c r="K73" s="344">
        <f>+Detail!L330</f>
        <v>0</v>
      </c>
      <c r="L73" s="344">
        <f>+Detail!M330</f>
        <v>0</v>
      </c>
      <c r="M73" s="344">
        <f>+Detail!N330</f>
        <v>0</v>
      </c>
      <c r="N73" s="344">
        <f>+Detail!O330</f>
        <v>0</v>
      </c>
      <c r="O73" s="344">
        <f>+Detail!P330</f>
        <v>0</v>
      </c>
      <c r="P73" s="344">
        <f>+Detail!Q330</f>
        <v>0</v>
      </c>
    </row>
    <row r="74" spans="1:16" x14ac:dyDescent="0.2">
      <c r="A74" s="415">
        <f>+Intro!$C$4</f>
        <v>11</v>
      </c>
      <c r="B74" s="236">
        <f>+Intro!$F$4</f>
        <v>100038</v>
      </c>
      <c r="C74" s="344">
        <f>+Detail!B331</f>
        <v>59900500</v>
      </c>
      <c r="D74" s="344">
        <f>+Detail!$R$8</f>
        <v>2000</v>
      </c>
      <c r="E74" s="344">
        <f>+Detail!F334</f>
        <v>0</v>
      </c>
      <c r="F74" s="344">
        <f>+Detail!G334</f>
        <v>0</v>
      </c>
      <c r="G74" s="344">
        <f>+Detail!H334</f>
        <v>0</v>
      </c>
      <c r="H74" s="344">
        <f>+Detail!I334</f>
        <v>0</v>
      </c>
      <c r="I74" s="344">
        <f>+Detail!J334</f>
        <v>0</v>
      </c>
      <c r="J74" s="344">
        <f>+Detail!K334</f>
        <v>0</v>
      </c>
      <c r="K74" s="344">
        <f>+Detail!L334</f>
        <v>0</v>
      </c>
      <c r="L74" s="344">
        <f>+Detail!M334</f>
        <v>0</v>
      </c>
      <c r="M74" s="344">
        <f>+Detail!N334</f>
        <v>0</v>
      </c>
      <c r="N74" s="344">
        <f>+Detail!O334</f>
        <v>0</v>
      </c>
      <c r="O74" s="344">
        <f>+Detail!P334</f>
        <v>0</v>
      </c>
      <c r="P74" s="344">
        <f>+Detail!Q334</f>
        <v>0</v>
      </c>
    </row>
    <row r="75" spans="1:16" x14ac:dyDescent="0.2">
      <c r="A75" s="415">
        <f>+Intro!$C$4</f>
        <v>11</v>
      </c>
      <c r="B75" s="236">
        <f>+Intro!$F$4</f>
        <v>100038</v>
      </c>
      <c r="C75" s="344">
        <f>+Detail!B335</f>
        <v>59900600</v>
      </c>
      <c r="D75" s="344">
        <f>+Detail!$R$8</f>
        <v>2000</v>
      </c>
      <c r="E75" s="344">
        <f>+Detail!F338</f>
        <v>0</v>
      </c>
      <c r="F75" s="344">
        <f>+Detail!G338</f>
        <v>0</v>
      </c>
      <c r="G75" s="344">
        <f>+Detail!H338</f>
        <v>0</v>
      </c>
      <c r="H75" s="344">
        <f>+Detail!I338</f>
        <v>0</v>
      </c>
      <c r="I75" s="344">
        <f>+Detail!J338</f>
        <v>0</v>
      </c>
      <c r="J75" s="344">
        <f>+Detail!K338</f>
        <v>0</v>
      </c>
      <c r="K75" s="344">
        <f>+Detail!L338</f>
        <v>0</v>
      </c>
      <c r="L75" s="344">
        <f>+Detail!M338</f>
        <v>0</v>
      </c>
      <c r="M75" s="344">
        <f>+Detail!N338</f>
        <v>0</v>
      </c>
      <c r="N75" s="344">
        <f>+Detail!O338</f>
        <v>0</v>
      </c>
      <c r="O75" s="344">
        <f>+Detail!P338</f>
        <v>0</v>
      </c>
      <c r="P75" s="344">
        <f>+Detail!Q338</f>
        <v>0</v>
      </c>
    </row>
    <row r="77" spans="1:16" ht="16.5" thickBot="1" x14ac:dyDescent="0.3">
      <c r="A77" s="416" t="s">
        <v>79</v>
      </c>
      <c r="E77" s="346">
        <f>SUM(E2:E76)</f>
        <v>599441.91666666663</v>
      </c>
      <c r="F77" s="346">
        <f t="shared" ref="F77:P77" si="0">SUM(F2:F76)</f>
        <v>559441.91666666651</v>
      </c>
      <c r="G77" s="346">
        <f t="shared" si="0"/>
        <v>559441.91666666651</v>
      </c>
      <c r="H77" s="346">
        <f t="shared" si="0"/>
        <v>559441.91666666651</v>
      </c>
      <c r="I77" s="346">
        <f t="shared" si="0"/>
        <v>570750.66666666663</v>
      </c>
      <c r="J77" s="346">
        <f t="shared" si="0"/>
        <v>570750.66666666663</v>
      </c>
      <c r="K77" s="346">
        <f t="shared" si="0"/>
        <v>568194.66666666663</v>
      </c>
      <c r="L77" s="346">
        <f t="shared" si="0"/>
        <v>568194.66666666663</v>
      </c>
      <c r="M77" s="346">
        <f t="shared" si="0"/>
        <v>555312.66666666663</v>
      </c>
      <c r="N77" s="346">
        <f t="shared" si="0"/>
        <v>555312.66666666663</v>
      </c>
      <c r="O77" s="346">
        <f t="shared" si="0"/>
        <v>555312.66666666663</v>
      </c>
      <c r="P77" s="346">
        <f t="shared" si="0"/>
        <v>555312.66666666663</v>
      </c>
    </row>
    <row r="78" spans="1:16" ht="15.75" thickTop="1" x14ac:dyDescent="0.2"/>
  </sheetData>
  <pageMargins left="0.75" right="0.75" top="1" bottom="1" header="0.5" footer="0.5"/>
  <pageSetup orientation="portrait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zoomScale="75" workbookViewId="0">
      <selection activeCell="D1" sqref="D1"/>
    </sheetView>
  </sheetViews>
  <sheetFormatPr defaultRowHeight="15" x14ac:dyDescent="0.2"/>
  <cols>
    <col min="1" max="1" width="4.109375" customWidth="1"/>
    <col min="2" max="2" width="7.88671875" style="35" customWidth="1"/>
    <col min="3" max="3" width="7.77734375" customWidth="1"/>
    <col min="4" max="4" width="6.44140625" style="37" customWidth="1"/>
    <col min="5" max="5" width="12.6640625" customWidth="1"/>
    <col min="6" max="8" width="9.6640625" style="63" customWidth="1"/>
    <col min="9" max="9" width="10.33203125" style="63" customWidth="1"/>
    <col min="10" max="17" width="9.6640625" style="63" customWidth="1"/>
    <col min="18" max="18" width="11.109375" style="63" customWidth="1"/>
  </cols>
  <sheetData>
    <row r="1" spans="1:18" x14ac:dyDescent="0.2">
      <c r="A1" t="s">
        <v>275</v>
      </c>
      <c r="B1" s="35" t="s">
        <v>276</v>
      </c>
      <c r="C1" t="s">
        <v>277</v>
      </c>
      <c r="D1" s="37" t="s">
        <v>278</v>
      </c>
      <c r="E1" t="s">
        <v>279</v>
      </c>
      <c r="F1" s="63" t="s">
        <v>280</v>
      </c>
      <c r="G1" s="63" t="s">
        <v>281</v>
      </c>
      <c r="H1" s="63" t="s">
        <v>282</v>
      </c>
      <c r="I1" s="63" t="s">
        <v>283</v>
      </c>
      <c r="J1" s="63" t="s">
        <v>284</v>
      </c>
      <c r="K1" s="63" t="s">
        <v>343</v>
      </c>
      <c r="L1" s="63" t="s">
        <v>285</v>
      </c>
      <c r="M1" s="63" t="s">
        <v>286</v>
      </c>
      <c r="N1" s="63" t="s">
        <v>287</v>
      </c>
      <c r="O1" s="63" t="s">
        <v>288</v>
      </c>
      <c r="P1" s="63" t="s">
        <v>289</v>
      </c>
      <c r="Q1" s="63" t="s">
        <v>290</v>
      </c>
      <c r="R1" s="63" t="s">
        <v>291</v>
      </c>
    </row>
    <row r="2" spans="1:18" x14ac:dyDescent="0.2">
      <c r="A2" t="s">
        <v>292</v>
      </c>
      <c r="B2" s="64">
        <v>2000</v>
      </c>
      <c r="C2" s="61">
        <f>+Intro!$F$4</f>
        <v>100038</v>
      </c>
      <c r="D2" s="62">
        <f>+Intro!$C$4</f>
        <v>11</v>
      </c>
      <c r="E2" s="247" t="s">
        <v>293</v>
      </c>
      <c r="F2" s="63">
        <f>+Allocations!Q10</f>
        <v>0</v>
      </c>
      <c r="G2" s="63">
        <f>+Allocations!E10</f>
        <v>0</v>
      </c>
      <c r="H2" s="63">
        <f>+Allocations!F10</f>
        <v>0</v>
      </c>
      <c r="I2" s="63">
        <f>+Allocations!G10</f>
        <v>0</v>
      </c>
      <c r="J2" s="63">
        <f>+Allocations!H10</f>
        <v>0</v>
      </c>
      <c r="K2" s="63">
        <f>+Allocations!I10</f>
        <v>0</v>
      </c>
      <c r="L2" s="63">
        <f>+Allocations!J10</f>
        <v>0</v>
      </c>
      <c r="M2" s="63">
        <f>+Allocations!K10</f>
        <v>0</v>
      </c>
      <c r="N2" s="63">
        <f>+Allocations!L10</f>
        <v>0</v>
      </c>
      <c r="O2" s="63">
        <f>+Allocations!M10</f>
        <v>0</v>
      </c>
      <c r="P2" s="63">
        <f>+Allocations!N10</f>
        <v>0</v>
      </c>
      <c r="Q2" s="63">
        <f>+Allocations!O10</f>
        <v>0</v>
      </c>
      <c r="R2" s="63">
        <f>+Allocations!P10</f>
        <v>0</v>
      </c>
    </row>
    <row r="3" spans="1:18" x14ac:dyDescent="0.2">
      <c r="A3" t="s">
        <v>292</v>
      </c>
      <c r="B3" s="64">
        <v>2000</v>
      </c>
      <c r="C3" s="61">
        <f>+Intro!$F$4</f>
        <v>100038</v>
      </c>
      <c r="D3" s="62">
        <f>+Intro!$C$4</f>
        <v>11</v>
      </c>
      <c r="E3" s="247" t="s">
        <v>294</v>
      </c>
      <c r="F3" s="63">
        <f>+Allocations!Q11</f>
        <v>-1016536.3499999999</v>
      </c>
      <c r="G3" s="63">
        <f>+Allocations!E11</f>
        <v>-89916.287499999977</v>
      </c>
      <c r="H3" s="63">
        <f>+Allocations!F11</f>
        <v>-83916.287499999977</v>
      </c>
      <c r="I3" s="63">
        <f>+Allocations!G11</f>
        <v>-83916.287499999977</v>
      </c>
      <c r="J3" s="63">
        <f>+Allocations!H11</f>
        <v>-83916.287499999977</v>
      </c>
      <c r="K3" s="63">
        <f>+Allocations!I11</f>
        <v>-85612.6</v>
      </c>
      <c r="L3" s="63">
        <f>+Allocations!J11</f>
        <v>-85612.6</v>
      </c>
      <c r="M3" s="63">
        <f>+Allocations!K11</f>
        <v>-85229.200000000012</v>
      </c>
      <c r="N3" s="63">
        <f>+Allocations!L11</f>
        <v>-85229.200000000012</v>
      </c>
      <c r="O3" s="63">
        <f>+Allocations!M11</f>
        <v>-83296.900000000009</v>
      </c>
      <c r="P3" s="63">
        <f>+Allocations!N11</f>
        <v>-83296.900000000009</v>
      </c>
      <c r="Q3" s="63">
        <f>+Allocations!O11</f>
        <v>-83296.900000000009</v>
      </c>
      <c r="R3" s="63">
        <f>+Allocations!P11</f>
        <v>-83296.900000000009</v>
      </c>
    </row>
    <row r="4" spans="1:18" x14ac:dyDescent="0.2">
      <c r="A4" t="s">
        <v>292</v>
      </c>
      <c r="B4" s="64">
        <v>2000</v>
      </c>
      <c r="C4" s="61">
        <f>+Intro!$F$4</f>
        <v>100038</v>
      </c>
      <c r="D4" s="62">
        <f>+Intro!$C$4</f>
        <v>11</v>
      </c>
      <c r="E4" s="247" t="s">
        <v>295</v>
      </c>
      <c r="F4" s="63">
        <f>+Allocations!Q12</f>
        <v>0</v>
      </c>
      <c r="G4" s="63">
        <f>+Allocations!E12</f>
        <v>0</v>
      </c>
      <c r="H4" s="63">
        <f>+Allocations!F12</f>
        <v>0</v>
      </c>
      <c r="I4" s="63">
        <f>+Allocations!G12</f>
        <v>0</v>
      </c>
      <c r="J4" s="63">
        <f>+Allocations!H12</f>
        <v>0</v>
      </c>
      <c r="K4" s="63">
        <f>+Allocations!I12</f>
        <v>0</v>
      </c>
      <c r="L4" s="63">
        <f>+Allocations!J12</f>
        <v>0</v>
      </c>
      <c r="M4" s="63">
        <f>+Allocations!K12</f>
        <v>0</v>
      </c>
      <c r="N4" s="63">
        <f>+Allocations!L12</f>
        <v>0</v>
      </c>
      <c r="O4" s="63">
        <f>+Allocations!M12</f>
        <v>0</v>
      </c>
      <c r="P4" s="63">
        <f>+Allocations!N12</f>
        <v>0</v>
      </c>
      <c r="Q4" s="63">
        <f>+Allocations!O12</f>
        <v>0</v>
      </c>
      <c r="R4" s="63">
        <f>+Allocations!P12</f>
        <v>0</v>
      </c>
    </row>
    <row r="5" spans="1:18" x14ac:dyDescent="0.2">
      <c r="A5" t="s">
        <v>292</v>
      </c>
      <c r="B5" s="64">
        <v>2000</v>
      </c>
      <c r="C5" s="61">
        <f>+Intro!$F$4</f>
        <v>100038</v>
      </c>
      <c r="D5" s="62">
        <f>+Intro!$C$4</f>
        <v>11</v>
      </c>
      <c r="E5" s="247" t="s">
        <v>296</v>
      </c>
      <c r="F5" s="63">
        <f>+Allocations!Q13</f>
        <v>0</v>
      </c>
      <c r="G5" s="63">
        <f>+Allocations!E13</f>
        <v>0</v>
      </c>
      <c r="H5" s="63">
        <f>+Allocations!F13</f>
        <v>0</v>
      </c>
      <c r="I5" s="63">
        <f>+Allocations!G13</f>
        <v>0</v>
      </c>
      <c r="J5" s="63">
        <f>+Allocations!H13</f>
        <v>0</v>
      </c>
      <c r="K5" s="63">
        <f>+Allocations!I13</f>
        <v>0</v>
      </c>
      <c r="L5" s="63">
        <f>+Allocations!J13</f>
        <v>0</v>
      </c>
      <c r="M5" s="63">
        <f>+Allocations!K13</f>
        <v>0</v>
      </c>
      <c r="N5" s="63">
        <f>+Allocations!L13</f>
        <v>0</v>
      </c>
      <c r="O5" s="63">
        <f>+Allocations!M13</f>
        <v>0</v>
      </c>
      <c r="P5" s="63">
        <f>+Allocations!N13</f>
        <v>0</v>
      </c>
      <c r="Q5" s="63">
        <f>+Allocations!O13</f>
        <v>0</v>
      </c>
      <c r="R5" s="63">
        <f>+Allocations!P13</f>
        <v>0</v>
      </c>
    </row>
    <row r="6" spans="1:18" x14ac:dyDescent="0.2">
      <c r="A6" t="s">
        <v>292</v>
      </c>
      <c r="B6" s="64">
        <v>2000</v>
      </c>
      <c r="C6" s="61">
        <f>+Intro!$F$4</f>
        <v>100038</v>
      </c>
      <c r="D6" s="62">
        <f>+Intro!$C$4</f>
        <v>11</v>
      </c>
      <c r="E6" s="247" t="s">
        <v>297</v>
      </c>
      <c r="F6" s="63">
        <f>+Allocations!Q14</f>
        <v>0</v>
      </c>
      <c r="G6" s="63">
        <f>+Allocations!E14</f>
        <v>0</v>
      </c>
      <c r="H6" s="63">
        <f>+Allocations!F14</f>
        <v>0</v>
      </c>
      <c r="I6" s="63">
        <f>+Allocations!G14</f>
        <v>0</v>
      </c>
      <c r="J6" s="63">
        <f>+Allocations!H14</f>
        <v>0</v>
      </c>
      <c r="K6" s="63">
        <f>+Allocations!I14</f>
        <v>0</v>
      </c>
      <c r="L6" s="63">
        <f>+Allocations!J14</f>
        <v>0</v>
      </c>
      <c r="M6" s="63">
        <f>+Allocations!K14</f>
        <v>0</v>
      </c>
      <c r="N6" s="63">
        <f>+Allocations!L14</f>
        <v>0</v>
      </c>
      <c r="O6" s="63">
        <f>+Allocations!M14</f>
        <v>0</v>
      </c>
      <c r="P6" s="63">
        <f>+Allocations!N14</f>
        <v>0</v>
      </c>
      <c r="Q6" s="63">
        <f>+Allocations!O14</f>
        <v>0</v>
      </c>
      <c r="R6" s="63">
        <f>+Allocations!P14</f>
        <v>0</v>
      </c>
    </row>
    <row r="7" spans="1:18" x14ac:dyDescent="0.2">
      <c r="A7" t="s">
        <v>292</v>
      </c>
      <c r="B7" s="64">
        <v>2000</v>
      </c>
      <c r="C7" s="61">
        <f>+Intro!$F$4</f>
        <v>100038</v>
      </c>
      <c r="D7" s="62">
        <f>+Intro!$C$4</f>
        <v>11</v>
      </c>
      <c r="E7" s="247" t="s">
        <v>298</v>
      </c>
      <c r="F7" s="63">
        <f>+Allocations!Q15</f>
        <v>0</v>
      </c>
      <c r="G7" s="63">
        <f>+Allocations!E15</f>
        <v>0</v>
      </c>
      <c r="H7" s="63">
        <f>+Allocations!F15</f>
        <v>0</v>
      </c>
      <c r="I7" s="63">
        <f>+Allocations!G15</f>
        <v>0</v>
      </c>
      <c r="J7" s="63">
        <f>+Allocations!H15</f>
        <v>0</v>
      </c>
      <c r="K7" s="63">
        <f>+Allocations!I15</f>
        <v>0</v>
      </c>
      <c r="L7" s="63">
        <f>+Allocations!J15</f>
        <v>0</v>
      </c>
      <c r="M7" s="63">
        <f>+Allocations!K15</f>
        <v>0</v>
      </c>
      <c r="N7" s="63">
        <f>+Allocations!L15</f>
        <v>0</v>
      </c>
      <c r="O7" s="63">
        <f>+Allocations!M15</f>
        <v>0</v>
      </c>
      <c r="P7" s="63">
        <f>+Allocations!N15</f>
        <v>0</v>
      </c>
      <c r="Q7" s="63">
        <f>+Allocations!O15</f>
        <v>0</v>
      </c>
      <c r="R7" s="63">
        <f>+Allocations!P15</f>
        <v>0</v>
      </c>
    </row>
    <row r="8" spans="1:18" x14ac:dyDescent="0.2">
      <c r="A8" t="s">
        <v>292</v>
      </c>
      <c r="B8" s="64">
        <v>2000</v>
      </c>
      <c r="C8" s="61">
        <f>+Intro!$F$4</f>
        <v>100038</v>
      </c>
      <c r="D8" s="62">
        <f>+Intro!$C$4</f>
        <v>11</v>
      </c>
      <c r="E8" s="247" t="s">
        <v>299</v>
      </c>
      <c r="F8" s="63">
        <f>+Allocations!Q16</f>
        <v>0</v>
      </c>
      <c r="G8" s="63">
        <f>+Allocations!E16</f>
        <v>0</v>
      </c>
      <c r="H8" s="63">
        <f>+Allocations!F16</f>
        <v>0</v>
      </c>
      <c r="I8" s="63">
        <f>+Allocations!G16</f>
        <v>0</v>
      </c>
      <c r="J8" s="63">
        <f>+Allocations!H16</f>
        <v>0</v>
      </c>
      <c r="K8" s="63">
        <f>+Allocations!I16</f>
        <v>0</v>
      </c>
      <c r="L8" s="63">
        <f>+Allocations!J16</f>
        <v>0</v>
      </c>
      <c r="M8" s="63">
        <f>+Allocations!K16</f>
        <v>0</v>
      </c>
      <c r="N8" s="63">
        <f>+Allocations!L16</f>
        <v>0</v>
      </c>
      <c r="O8" s="63">
        <f>+Allocations!M16</f>
        <v>0</v>
      </c>
      <c r="P8" s="63">
        <f>+Allocations!N16</f>
        <v>0</v>
      </c>
      <c r="Q8" s="63">
        <f>+Allocations!O16</f>
        <v>0</v>
      </c>
      <c r="R8" s="63">
        <f>+Allocations!P16</f>
        <v>0</v>
      </c>
    </row>
    <row r="9" spans="1:18" x14ac:dyDescent="0.2">
      <c r="A9" t="s">
        <v>292</v>
      </c>
      <c r="B9" s="64">
        <v>2000</v>
      </c>
      <c r="C9" s="61">
        <f>+Intro!$F$4</f>
        <v>100038</v>
      </c>
      <c r="D9" s="62">
        <f>+Intro!$C$4</f>
        <v>11</v>
      </c>
      <c r="E9" s="247" t="s">
        <v>300</v>
      </c>
      <c r="F9" s="63">
        <f>+Allocations!Q17</f>
        <v>0</v>
      </c>
      <c r="G9" s="63">
        <f>+Allocations!E17</f>
        <v>0</v>
      </c>
      <c r="H9" s="63">
        <f>+Allocations!F17</f>
        <v>0</v>
      </c>
      <c r="I9" s="63">
        <f>+Allocations!G17</f>
        <v>0</v>
      </c>
      <c r="J9" s="63">
        <f>+Allocations!H17</f>
        <v>0</v>
      </c>
      <c r="K9" s="63">
        <f>+Allocations!I17</f>
        <v>0</v>
      </c>
      <c r="L9" s="63">
        <f>+Allocations!J17</f>
        <v>0</v>
      </c>
      <c r="M9" s="63">
        <f>+Allocations!K17</f>
        <v>0</v>
      </c>
      <c r="N9" s="63">
        <f>+Allocations!L17</f>
        <v>0</v>
      </c>
      <c r="O9" s="63">
        <f>+Allocations!M17</f>
        <v>0</v>
      </c>
      <c r="P9" s="63">
        <f>+Allocations!N17</f>
        <v>0</v>
      </c>
      <c r="Q9" s="63">
        <f>+Allocations!O17</f>
        <v>0</v>
      </c>
      <c r="R9" s="63">
        <f>+Allocations!P17</f>
        <v>0</v>
      </c>
    </row>
    <row r="10" spans="1:18" x14ac:dyDescent="0.2">
      <c r="A10" t="s">
        <v>292</v>
      </c>
      <c r="B10" s="64">
        <v>2000</v>
      </c>
      <c r="C10" s="61">
        <f>+Intro!$F$4</f>
        <v>100038</v>
      </c>
      <c r="D10" s="62">
        <f>+Intro!$C$4</f>
        <v>11</v>
      </c>
      <c r="E10" s="247" t="s">
        <v>475</v>
      </c>
      <c r="F10" s="63">
        <f>+Allocations!Q18</f>
        <v>0</v>
      </c>
      <c r="G10" s="63">
        <f>+Allocations!E18</f>
        <v>0</v>
      </c>
      <c r="H10" s="63">
        <f>+Allocations!F18</f>
        <v>0</v>
      </c>
      <c r="I10" s="63">
        <f>+Allocations!G18</f>
        <v>0</v>
      </c>
      <c r="J10" s="63">
        <f>+Allocations!H18</f>
        <v>0</v>
      </c>
      <c r="K10" s="63">
        <f>+Allocations!I18</f>
        <v>0</v>
      </c>
      <c r="L10" s="63">
        <f>+Allocations!J18</f>
        <v>0</v>
      </c>
      <c r="M10" s="63">
        <f>+Allocations!K18</f>
        <v>0</v>
      </c>
      <c r="N10" s="63">
        <f>+Allocations!L18</f>
        <v>0</v>
      </c>
      <c r="O10" s="63">
        <f>+Allocations!M18</f>
        <v>0</v>
      </c>
      <c r="P10" s="63">
        <f>+Allocations!N18</f>
        <v>0</v>
      </c>
      <c r="Q10" s="63">
        <f>+Allocations!O18</f>
        <v>0</v>
      </c>
      <c r="R10" s="63">
        <f>+Allocations!P18</f>
        <v>0</v>
      </c>
    </row>
    <row r="11" spans="1:18" x14ac:dyDescent="0.2">
      <c r="A11" t="s">
        <v>292</v>
      </c>
      <c r="B11" s="64">
        <v>2000</v>
      </c>
      <c r="C11" s="61">
        <f>+Intro!$F$4</f>
        <v>100038</v>
      </c>
      <c r="D11" s="62">
        <f>+Intro!$C$4</f>
        <v>11</v>
      </c>
      <c r="E11" s="247" t="s">
        <v>301</v>
      </c>
      <c r="F11" s="63">
        <f>+Allocations!Q19</f>
        <v>0</v>
      </c>
      <c r="G11" s="63">
        <f>+Allocations!E19</f>
        <v>0</v>
      </c>
      <c r="H11" s="63">
        <f>+Allocations!F19</f>
        <v>0</v>
      </c>
      <c r="I11" s="63">
        <f>+Allocations!G19</f>
        <v>0</v>
      </c>
      <c r="J11" s="63">
        <f>+Allocations!H19</f>
        <v>0</v>
      </c>
      <c r="K11" s="63">
        <f>+Allocations!I19</f>
        <v>0</v>
      </c>
      <c r="L11" s="63">
        <f>+Allocations!J19</f>
        <v>0</v>
      </c>
      <c r="M11" s="63">
        <f>+Allocations!K19</f>
        <v>0</v>
      </c>
      <c r="N11" s="63">
        <f>+Allocations!L19</f>
        <v>0</v>
      </c>
      <c r="O11" s="63">
        <f>+Allocations!M19</f>
        <v>0</v>
      </c>
      <c r="P11" s="63">
        <f>+Allocations!N19</f>
        <v>0</v>
      </c>
      <c r="Q11" s="63">
        <f>+Allocations!O19</f>
        <v>0</v>
      </c>
      <c r="R11" s="63">
        <f>+Allocations!P19</f>
        <v>0</v>
      </c>
    </row>
    <row r="12" spans="1:18" x14ac:dyDescent="0.2">
      <c r="A12" t="s">
        <v>292</v>
      </c>
      <c r="B12" s="64">
        <v>2000</v>
      </c>
      <c r="C12" s="61">
        <f>+Intro!$F$4</f>
        <v>100038</v>
      </c>
      <c r="D12" s="62">
        <f>+Intro!$C$4</f>
        <v>11</v>
      </c>
      <c r="E12" s="247" t="s">
        <v>302</v>
      </c>
      <c r="F12" s="63">
        <f>+Allocations!Q20</f>
        <v>0</v>
      </c>
      <c r="G12" s="63">
        <f>+Allocations!E20</f>
        <v>0</v>
      </c>
      <c r="H12" s="63">
        <f>+Allocations!F20</f>
        <v>0</v>
      </c>
      <c r="I12" s="63">
        <f>+Allocations!G20</f>
        <v>0</v>
      </c>
      <c r="J12" s="63">
        <f>+Allocations!H20</f>
        <v>0</v>
      </c>
      <c r="K12" s="63">
        <f>+Allocations!I20</f>
        <v>0</v>
      </c>
      <c r="L12" s="63">
        <f>+Allocations!J20</f>
        <v>0</v>
      </c>
      <c r="M12" s="63">
        <f>+Allocations!K20</f>
        <v>0</v>
      </c>
      <c r="N12" s="63">
        <f>+Allocations!L20</f>
        <v>0</v>
      </c>
      <c r="O12" s="63">
        <f>+Allocations!M20</f>
        <v>0</v>
      </c>
      <c r="P12" s="63">
        <f>+Allocations!N20</f>
        <v>0</v>
      </c>
      <c r="Q12" s="63">
        <f>+Allocations!O20</f>
        <v>0</v>
      </c>
      <c r="R12" s="63">
        <f>+Allocations!P20</f>
        <v>0</v>
      </c>
    </row>
    <row r="13" spans="1:18" x14ac:dyDescent="0.2">
      <c r="A13" t="s">
        <v>292</v>
      </c>
      <c r="B13" s="64">
        <v>2000</v>
      </c>
      <c r="C13" s="61">
        <f>+Intro!$F$4</f>
        <v>100038</v>
      </c>
      <c r="D13" s="62">
        <f>+Intro!$C$4</f>
        <v>11</v>
      </c>
      <c r="E13" s="247" t="s">
        <v>303</v>
      </c>
      <c r="F13" s="63">
        <f>+Allocations!Q21</f>
        <v>0</v>
      </c>
      <c r="G13" s="63">
        <f>+Allocations!E21</f>
        <v>0</v>
      </c>
      <c r="H13" s="63">
        <f>+Allocations!F21</f>
        <v>0</v>
      </c>
      <c r="I13" s="63">
        <f>+Allocations!G21</f>
        <v>0</v>
      </c>
      <c r="J13" s="63">
        <f>+Allocations!H21</f>
        <v>0</v>
      </c>
      <c r="K13" s="63">
        <f>+Allocations!I21</f>
        <v>0</v>
      </c>
      <c r="L13" s="63">
        <f>+Allocations!J21</f>
        <v>0</v>
      </c>
      <c r="M13" s="63">
        <f>+Allocations!K21</f>
        <v>0</v>
      </c>
      <c r="N13" s="63">
        <f>+Allocations!L21</f>
        <v>0</v>
      </c>
      <c r="O13" s="63">
        <f>+Allocations!M21</f>
        <v>0</v>
      </c>
      <c r="P13" s="63">
        <f>+Allocations!N21</f>
        <v>0</v>
      </c>
      <c r="Q13" s="63">
        <f>+Allocations!O21</f>
        <v>0</v>
      </c>
      <c r="R13" s="63">
        <f>+Allocations!P21</f>
        <v>0</v>
      </c>
    </row>
    <row r="14" spans="1:18" x14ac:dyDescent="0.2">
      <c r="A14" t="s">
        <v>292</v>
      </c>
      <c r="B14" s="64">
        <v>2000</v>
      </c>
      <c r="C14" s="61">
        <f>+Intro!$F$4</f>
        <v>100038</v>
      </c>
      <c r="D14" s="62">
        <f>+Intro!$C$4</f>
        <v>11</v>
      </c>
      <c r="E14" s="247" t="s">
        <v>304</v>
      </c>
      <c r="F14" s="63">
        <f>+Allocations!Q22</f>
        <v>0</v>
      </c>
      <c r="G14" s="63">
        <f>+Allocations!E22</f>
        <v>0</v>
      </c>
      <c r="H14" s="63">
        <f>+Allocations!F22</f>
        <v>0</v>
      </c>
      <c r="I14" s="63">
        <f>+Allocations!G22</f>
        <v>0</v>
      </c>
      <c r="J14" s="63">
        <f>+Allocations!H22</f>
        <v>0</v>
      </c>
      <c r="K14" s="63">
        <f>+Allocations!I22</f>
        <v>0</v>
      </c>
      <c r="L14" s="63">
        <f>+Allocations!J22</f>
        <v>0</v>
      </c>
      <c r="M14" s="63">
        <f>+Allocations!K22</f>
        <v>0</v>
      </c>
      <c r="N14" s="63">
        <f>+Allocations!L22</f>
        <v>0</v>
      </c>
      <c r="O14" s="63">
        <f>+Allocations!M22</f>
        <v>0</v>
      </c>
      <c r="P14" s="63">
        <f>+Allocations!N22</f>
        <v>0</v>
      </c>
      <c r="Q14" s="63">
        <f>+Allocations!O22</f>
        <v>0</v>
      </c>
      <c r="R14" s="63">
        <f>+Allocations!P22</f>
        <v>0</v>
      </c>
    </row>
    <row r="15" spans="1:18" x14ac:dyDescent="0.2">
      <c r="A15" t="s">
        <v>292</v>
      </c>
      <c r="B15" s="64">
        <v>2000</v>
      </c>
      <c r="C15" s="61">
        <f>+Intro!$F$4</f>
        <v>100038</v>
      </c>
      <c r="D15" s="62">
        <f>+Intro!$C$4</f>
        <v>11</v>
      </c>
      <c r="E15" s="247" t="s">
        <v>305</v>
      </c>
      <c r="F15" s="63">
        <f>+Allocations!Q23</f>
        <v>0</v>
      </c>
      <c r="G15" s="63">
        <f>+Allocations!E23</f>
        <v>0</v>
      </c>
      <c r="H15" s="63">
        <f>+Allocations!F23</f>
        <v>0</v>
      </c>
      <c r="I15" s="63">
        <f>+Allocations!G23</f>
        <v>0</v>
      </c>
      <c r="J15" s="63">
        <f>+Allocations!H23</f>
        <v>0</v>
      </c>
      <c r="K15" s="63">
        <f>+Allocations!I23</f>
        <v>0</v>
      </c>
      <c r="L15" s="63">
        <f>+Allocations!J23</f>
        <v>0</v>
      </c>
      <c r="M15" s="63">
        <f>+Allocations!K23</f>
        <v>0</v>
      </c>
      <c r="N15" s="63">
        <f>+Allocations!L23</f>
        <v>0</v>
      </c>
      <c r="O15" s="63">
        <f>+Allocations!M23</f>
        <v>0</v>
      </c>
      <c r="P15" s="63">
        <f>+Allocations!N23</f>
        <v>0</v>
      </c>
      <c r="Q15" s="63">
        <f>+Allocations!O23</f>
        <v>0</v>
      </c>
      <c r="R15" s="63">
        <f>+Allocations!P23</f>
        <v>0</v>
      </c>
    </row>
    <row r="16" spans="1:18" x14ac:dyDescent="0.2">
      <c r="A16" t="s">
        <v>292</v>
      </c>
      <c r="B16" s="64">
        <v>2000</v>
      </c>
      <c r="C16" s="61">
        <f>+Intro!$F$4</f>
        <v>100038</v>
      </c>
      <c r="D16" s="62">
        <f>+Intro!$C$4</f>
        <v>11</v>
      </c>
      <c r="E16" s="247" t="s">
        <v>306</v>
      </c>
      <c r="F16" s="63">
        <f>+Allocations!Q24</f>
        <v>-271076.36000000004</v>
      </c>
      <c r="G16" s="63">
        <f>+Allocations!E24</f>
        <v>-23977.676666666663</v>
      </c>
      <c r="H16" s="63">
        <f>+Allocations!F24</f>
        <v>-22377.676666666663</v>
      </c>
      <c r="I16" s="63">
        <f>+Allocations!G24</f>
        <v>-22377.676666666663</v>
      </c>
      <c r="J16" s="63">
        <f>+Allocations!H24</f>
        <v>-22377.676666666663</v>
      </c>
      <c r="K16" s="63">
        <f>+Allocations!I24</f>
        <v>-22830.026666666668</v>
      </c>
      <c r="L16" s="63">
        <f>+Allocations!J24</f>
        <v>-22830.026666666668</v>
      </c>
      <c r="M16" s="63">
        <f>+Allocations!K24</f>
        <v>-22727.78666666667</v>
      </c>
      <c r="N16" s="63">
        <f>+Allocations!L24</f>
        <v>-22727.78666666667</v>
      </c>
      <c r="O16" s="63">
        <f>+Allocations!M24</f>
        <v>-22212.506666666672</v>
      </c>
      <c r="P16" s="63">
        <f>+Allocations!N24</f>
        <v>-22212.506666666672</v>
      </c>
      <c r="Q16" s="63">
        <f>+Allocations!O24</f>
        <v>-22212.506666666672</v>
      </c>
      <c r="R16" s="63">
        <f>+Allocations!P24</f>
        <v>-22212.506666666672</v>
      </c>
    </row>
    <row r="17" spans="1:18" x14ac:dyDescent="0.2">
      <c r="A17" t="s">
        <v>292</v>
      </c>
      <c r="B17" s="64">
        <v>2000</v>
      </c>
      <c r="C17" s="61">
        <f>+Intro!$F$4</f>
        <v>100038</v>
      </c>
      <c r="D17" s="62">
        <f>+Intro!$C$4</f>
        <v>11</v>
      </c>
      <c r="E17" s="247" t="s">
        <v>476</v>
      </c>
      <c r="F17" s="63">
        <f>+Allocations!Q25</f>
        <v>0</v>
      </c>
      <c r="G17" s="63">
        <f>+Allocations!E25</f>
        <v>0</v>
      </c>
      <c r="H17" s="63">
        <f>+Allocations!F25</f>
        <v>0</v>
      </c>
      <c r="I17" s="63">
        <f>+Allocations!G25</f>
        <v>0</v>
      </c>
      <c r="J17" s="63">
        <f>+Allocations!H25</f>
        <v>0</v>
      </c>
      <c r="K17" s="63">
        <f>+Allocations!I25</f>
        <v>0</v>
      </c>
      <c r="L17" s="63">
        <f>+Allocations!J25</f>
        <v>0</v>
      </c>
      <c r="M17" s="63">
        <f>+Allocations!K25</f>
        <v>0</v>
      </c>
      <c r="N17" s="63">
        <f>+Allocations!L25</f>
        <v>0</v>
      </c>
      <c r="O17" s="63">
        <f>+Allocations!M25</f>
        <v>0</v>
      </c>
      <c r="P17" s="63">
        <f>+Allocations!N25</f>
        <v>0</v>
      </c>
      <c r="Q17" s="63">
        <f>+Allocations!O25</f>
        <v>0</v>
      </c>
      <c r="R17" s="63">
        <f>+Allocations!P25</f>
        <v>0</v>
      </c>
    </row>
    <row r="18" spans="1:18" x14ac:dyDescent="0.2">
      <c r="A18" t="s">
        <v>292</v>
      </c>
      <c r="B18" s="64">
        <v>2000</v>
      </c>
      <c r="C18" s="61">
        <f>+Intro!$F$4</f>
        <v>100038</v>
      </c>
      <c r="D18" s="62">
        <f>+Intro!$C$4</f>
        <v>11</v>
      </c>
      <c r="E18" s="247" t="s">
        <v>307</v>
      </c>
      <c r="F18" s="63">
        <f>+Allocations!Q26</f>
        <v>0</v>
      </c>
      <c r="G18" s="63">
        <f>+Allocations!E26</f>
        <v>0</v>
      </c>
      <c r="H18" s="63">
        <f>+Allocations!F26</f>
        <v>0</v>
      </c>
      <c r="I18" s="63">
        <f>+Allocations!G26</f>
        <v>0</v>
      </c>
      <c r="J18" s="63">
        <f>+Allocations!H26</f>
        <v>0</v>
      </c>
      <c r="K18" s="63">
        <f>+Allocations!I26</f>
        <v>0</v>
      </c>
      <c r="L18" s="63">
        <f>+Allocations!J26</f>
        <v>0</v>
      </c>
      <c r="M18" s="63">
        <f>+Allocations!K26</f>
        <v>0</v>
      </c>
      <c r="N18" s="63">
        <f>+Allocations!L26</f>
        <v>0</v>
      </c>
      <c r="O18" s="63">
        <f>+Allocations!M26</f>
        <v>0</v>
      </c>
      <c r="P18" s="63">
        <f>+Allocations!N26</f>
        <v>0</v>
      </c>
      <c r="Q18" s="63">
        <f>+Allocations!O26</f>
        <v>0</v>
      </c>
      <c r="R18" s="63">
        <f>+Allocations!P26</f>
        <v>0</v>
      </c>
    </row>
    <row r="19" spans="1:18" x14ac:dyDescent="0.2">
      <c r="A19" t="s">
        <v>292</v>
      </c>
      <c r="B19" s="64">
        <v>2000</v>
      </c>
      <c r="C19" s="61">
        <f>+Intro!$F$4</f>
        <v>100038</v>
      </c>
      <c r="D19" s="62">
        <f>+Intro!$C$4</f>
        <v>11</v>
      </c>
      <c r="E19" s="247" t="s">
        <v>308</v>
      </c>
      <c r="F19" s="63">
        <f>+Allocations!Q27</f>
        <v>-2507456.3299999996</v>
      </c>
      <c r="G19" s="63">
        <f>+Allocations!E27</f>
        <v>-221793.5091666666</v>
      </c>
      <c r="H19" s="63">
        <f>+Allocations!F27</f>
        <v>-206993.5091666666</v>
      </c>
      <c r="I19" s="63">
        <f>+Allocations!G27</f>
        <v>-206993.5091666666</v>
      </c>
      <c r="J19" s="63">
        <f>+Allocations!H27</f>
        <v>-206993.5091666666</v>
      </c>
      <c r="K19" s="63">
        <f>+Allocations!I27</f>
        <v>-211177.7466666667</v>
      </c>
      <c r="L19" s="63">
        <f>+Allocations!J27</f>
        <v>-211177.7466666667</v>
      </c>
      <c r="M19" s="63">
        <f>+Allocations!K27</f>
        <v>-210232.0266666667</v>
      </c>
      <c r="N19" s="63">
        <f>+Allocations!L27</f>
        <v>-210232.0266666667</v>
      </c>
      <c r="O19" s="63">
        <f>+Allocations!M27</f>
        <v>-205465.6866666667</v>
      </c>
      <c r="P19" s="63">
        <f>+Allocations!N27</f>
        <v>-205465.6866666667</v>
      </c>
      <c r="Q19" s="63">
        <f>+Allocations!O27</f>
        <v>-205465.6866666667</v>
      </c>
      <c r="R19" s="63">
        <f>+Allocations!P27</f>
        <v>-205465.6866666667</v>
      </c>
    </row>
    <row r="20" spans="1:18" x14ac:dyDescent="0.2">
      <c r="A20" t="s">
        <v>292</v>
      </c>
      <c r="B20" s="64">
        <v>2000</v>
      </c>
      <c r="C20" s="61">
        <f>+Intro!$F$4</f>
        <v>100038</v>
      </c>
      <c r="D20" s="62">
        <f>+Intro!$C$4</f>
        <v>11</v>
      </c>
      <c r="E20" s="247" t="s">
        <v>309</v>
      </c>
      <c r="F20" s="63">
        <f>+Allocations!Q28</f>
        <v>0</v>
      </c>
      <c r="G20" s="63">
        <f>+Allocations!E28</f>
        <v>0</v>
      </c>
      <c r="H20" s="63">
        <f>+Allocations!F28</f>
        <v>0</v>
      </c>
      <c r="I20" s="63">
        <f>+Allocations!G28</f>
        <v>0</v>
      </c>
      <c r="J20" s="63">
        <f>+Allocations!H28</f>
        <v>0</v>
      </c>
      <c r="K20" s="63">
        <f>+Allocations!I28</f>
        <v>0</v>
      </c>
      <c r="L20" s="63">
        <f>+Allocations!J28</f>
        <v>0</v>
      </c>
      <c r="M20" s="63">
        <f>+Allocations!K28</f>
        <v>0</v>
      </c>
      <c r="N20" s="63">
        <f>+Allocations!L28</f>
        <v>0</v>
      </c>
      <c r="O20" s="63">
        <f>+Allocations!M28</f>
        <v>0</v>
      </c>
      <c r="P20" s="63">
        <f>+Allocations!N28</f>
        <v>0</v>
      </c>
      <c r="Q20" s="63">
        <f>+Allocations!O28</f>
        <v>0</v>
      </c>
      <c r="R20" s="63">
        <f>+Allocations!P28</f>
        <v>0</v>
      </c>
    </row>
    <row r="21" spans="1:18" x14ac:dyDescent="0.2">
      <c r="A21" t="s">
        <v>292</v>
      </c>
      <c r="B21" s="64">
        <v>2000</v>
      </c>
      <c r="C21" s="61">
        <f>+Intro!$F$4</f>
        <v>100038</v>
      </c>
      <c r="D21" s="62">
        <f>+Intro!$C$4</f>
        <v>11</v>
      </c>
      <c r="E21" s="247" t="s">
        <v>477</v>
      </c>
      <c r="F21" s="63">
        <f>+Allocations!Q29</f>
        <v>0</v>
      </c>
      <c r="G21" s="63">
        <f>+Allocations!E29</f>
        <v>0</v>
      </c>
      <c r="H21" s="63">
        <f>+Allocations!F29</f>
        <v>0</v>
      </c>
      <c r="I21" s="63">
        <f>+Allocations!G29</f>
        <v>0</v>
      </c>
      <c r="J21" s="63">
        <f>+Allocations!H29</f>
        <v>0</v>
      </c>
      <c r="K21" s="63">
        <f>+Allocations!I29</f>
        <v>0</v>
      </c>
      <c r="L21" s="63">
        <f>+Allocations!J29</f>
        <v>0</v>
      </c>
      <c r="M21" s="63">
        <f>+Allocations!K29</f>
        <v>0</v>
      </c>
      <c r="N21" s="63">
        <f>+Allocations!L29</f>
        <v>0</v>
      </c>
      <c r="O21" s="63">
        <f>+Allocations!M29</f>
        <v>0</v>
      </c>
      <c r="P21" s="63">
        <f>+Allocations!N29</f>
        <v>0</v>
      </c>
      <c r="Q21" s="63">
        <f>+Allocations!O29</f>
        <v>0</v>
      </c>
      <c r="R21" s="63">
        <f>+Allocations!P29</f>
        <v>0</v>
      </c>
    </row>
    <row r="22" spans="1:18" x14ac:dyDescent="0.2">
      <c r="A22" t="s">
        <v>292</v>
      </c>
      <c r="B22" s="64">
        <v>2000</v>
      </c>
      <c r="C22" s="61">
        <f>+Intro!$F$4</f>
        <v>100038</v>
      </c>
      <c r="D22" s="62">
        <f>+Intro!$C$4</f>
        <v>11</v>
      </c>
      <c r="E22" s="247" t="s">
        <v>310</v>
      </c>
      <c r="F22" s="63">
        <f>+Allocations!Q30</f>
        <v>0</v>
      </c>
      <c r="G22" s="63">
        <f>+Allocations!E30</f>
        <v>0</v>
      </c>
      <c r="H22" s="63">
        <f>+Allocations!F30</f>
        <v>0</v>
      </c>
      <c r="I22" s="63">
        <f>+Allocations!G30</f>
        <v>0</v>
      </c>
      <c r="J22" s="63">
        <f>+Allocations!H30</f>
        <v>0</v>
      </c>
      <c r="K22" s="63">
        <f>+Allocations!I30</f>
        <v>0</v>
      </c>
      <c r="L22" s="63">
        <f>+Allocations!J30</f>
        <v>0</v>
      </c>
      <c r="M22" s="63">
        <f>+Allocations!K30</f>
        <v>0</v>
      </c>
      <c r="N22" s="63">
        <f>+Allocations!L30</f>
        <v>0</v>
      </c>
      <c r="O22" s="63">
        <f>+Allocations!M30</f>
        <v>0</v>
      </c>
      <c r="P22" s="63">
        <f>+Allocations!N30</f>
        <v>0</v>
      </c>
      <c r="Q22" s="63">
        <f>+Allocations!O30</f>
        <v>0</v>
      </c>
      <c r="R22" s="63">
        <f>+Allocations!P30</f>
        <v>0</v>
      </c>
    </row>
    <row r="23" spans="1:18" x14ac:dyDescent="0.2">
      <c r="A23" t="s">
        <v>292</v>
      </c>
      <c r="B23" s="64">
        <v>2000</v>
      </c>
      <c r="C23" s="61">
        <f>+Intro!$F$4</f>
        <v>100038</v>
      </c>
      <c r="D23" s="62">
        <f>+Intro!$C$4</f>
        <v>11</v>
      </c>
      <c r="E23" s="247" t="s">
        <v>344</v>
      </c>
      <c r="F23" s="63">
        <f>+Allocations!Q31</f>
        <v>0</v>
      </c>
      <c r="G23" s="63">
        <f>+Allocations!E31</f>
        <v>0</v>
      </c>
      <c r="H23" s="63">
        <f>+Allocations!F31</f>
        <v>0</v>
      </c>
      <c r="I23" s="63">
        <f>+Allocations!G31</f>
        <v>0</v>
      </c>
      <c r="J23" s="63">
        <f>+Allocations!H31</f>
        <v>0</v>
      </c>
      <c r="K23" s="63">
        <f>+Allocations!I31</f>
        <v>0</v>
      </c>
      <c r="L23" s="63">
        <f>+Allocations!J31</f>
        <v>0</v>
      </c>
      <c r="M23" s="63">
        <f>+Allocations!K31</f>
        <v>0</v>
      </c>
      <c r="N23" s="63">
        <f>+Allocations!L31</f>
        <v>0</v>
      </c>
      <c r="O23" s="63">
        <f>+Allocations!M31</f>
        <v>0</v>
      </c>
      <c r="P23" s="63">
        <f>+Allocations!N31</f>
        <v>0</v>
      </c>
      <c r="Q23" s="63">
        <f>+Allocations!O31</f>
        <v>0</v>
      </c>
      <c r="R23" s="63">
        <f>+Allocations!P31</f>
        <v>0</v>
      </c>
    </row>
    <row r="24" spans="1:18" x14ac:dyDescent="0.2">
      <c r="A24" t="s">
        <v>292</v>
      </c>
      <c r="B24" s="64">
        <v>2000</v>
      </c>
      <c r="C24" s="61">
        <f>+Intro!$F$4</f>
        <v>100038</v>
      </c>
      <c r="D24" s="62">
        <f>+Intro!$C$4</f>
        <v>11</v>
      </c>
      <c r="E24" s="247" t="s">
        <v>311</v>
      </c>
      <c r="F24" s="63">
        <f>+Allocations!Q32</f>
        <v>0</v>
      </c>
      <c r="G24" s="63">
        <f>+Allocations!E32</f>
        <v>0</v>
      </c>
      <c r="H24" s="63">
        <f>+Allocations!F32</f>
        <v>0</v>
      </c>
      <c r="I24" s="63">
        <f>+Allocations!G32</f>
        <v>0</v>
      </c>
      <c r="J24" s="63">
        <f>+Allocations!H32</f>
        <v>0</v>
      </c>
      <c r="K24" s="63">
        <f>+Allocations!I32</f>
        <v>0</v>
      </c>
      <c r="L24" s="63">
        <f>+Allocations!J32</f>
        <v>0</v>
      </c>
      <c r="M24" s="63">
        <f>+Allocations!K32</f>
        <v>0</v>
      </c>
      <c r="N24" s="63">
        <f>+Allocations!L32</f>
        <v>0</v>
      </c>
      <c r="O24" s="63">
        <f>+Allocations!M32</f>
        <v>0</v>
      </c>
      <c r="P24" s="63">
        <f>+Allocations!N32</f>
        <v>0</v>
      </c>
      <c r="Q24" s="63">
        <f>+Allocations!O32</f>
        <v>0</v>
      </c>
      <c r="R24" s="63">
        <f>+Allocations!P32</f>
        <v>0</v>
      </c>
    </row>
    <row r="25" spans="1:18" x14ac:dyDescent="0.2">
      <c r="A25" t="s">
        <v>292</v>
      </c>
      <c r="B25" s="64">
        <v>2000</v>
      </c>
      <c r="C25" s="61">
        <f>+Intro!$F$4</f>
        <v>100038</v>
      </c>
      <c r="D25" s="62">
        <f>+Intro!$C$4</f>
        <v>11</v>
      </c>
      <c r="E25" s="247" t="s">
        <v>312</v>
      </c>
      <c r="F25" s="63">
        <f>+Allocations!Q33</f>
        <v>0</v>
      </c>
      <c r="G25" s="63">
        <f>+Allocations!E33</f>
        <v>0</v>
      </c>
      <c r="H25" s="63">
        <f>+Allocations!F33</f>
        <v>0</v>
      </c>
      <c r="I25" s="63">
        <f>+Allocations!G33</f>
        <v>0</v>
      </c>
      <c r="J25" s="63">
        <f>+Allocations!H33</f>
        <v>0</v>
      </c>
      <c r="K25" s="63">
        <f>+Allocations!I33</f>
        <v>0</v>
      </c>
      <c r="L25" s="63">
        <f>+Allocations!J33</f>
        <v>0</v>
      </c>
      <c r="M25" s="63">
        <f>+Allocations!K33</f>
        <v>0</v>
      </c>
      <c r="N25" s="63">
        <f>+Allocations!L33</f>
        <v>0</v>
      </c>
      <c r="O25" s="63">
        <f>+Allocations!M33</f>
        <v>0</v>
      </c>
      <c r="P25" s="63">
        <f>+Allocations!N33</f>
        <v>0</v>
      </c>
      <c r="Q25" s="63">
        <f>+Allocations!O33</f>
        <v>0</v>
      </c>
      <c r="R25" s="63">
        <f>+Allocations!P33</f>
        <v>0</v>
      </c>
    </row>
    <row r="26" spans="1:18" x14ac:dyDescent="0.2">
      <c r="A26" t="s">
        <v>292</v>
      </c>
      <c r="B26" s="64">
        <v>2000</v>
      </c>
      <c r="C26" s="61">
        <f>+Intro!$F$4</f>
        <v>100038</v>
      </c>
      <c r="D26" s="62">
        <f>+Intro!$C$4</f>
        <v>11</v>
      </c>
      <c r="E26" s="247" t="s">
        <v>313</v>
      </c>
      <c r="F26" s="63">
        <f>+Allocations!Q34</f>
        <v>0</v>
      </c>
      <c r="G26" s="63">
        <f>+Allocations!E34</f>
        <v>0</v>
      </c>
      <c r="H26" s="63">
        <f>+Allocations!F34</f>
        <v>0</v>
      </c>
      <c r="I26" s="63">
        <f>+Allocations!G34</f>
        <v>0</v>
      </c>
      <c r="J26" s="63">
        <f>+Allocations!H34</f>
        <v>0</v>
      </c>
      <c r="K26" s="63">
        <f>+Allocations!I34</f>
        <v>0</v>
      </c>
      <c r="L26" s="63">
        <f>+Allocations!J34</f>
        <v>0</v>
      </c>
      <c r="M26" s="63">
        <f>+Allocations!K34</f>
        <v>0</v>
      </c>
      <c r="N26" s="63">
        <f>+Allocations!L34</f>
        <v>0</v>
      </c>
      <c r="O26" s="63">
        <f>+Allocations!M34</f>
        <v>0</v>
      </c>
      <c r="P26" s="63">
        <f>+Allocations!N34</f>
        <v>0</v>
      </c>
      <c r="Q26" s="63">
        <f>+Allocations!O34</f>
        <v>0</v>
      </c>
      <c r="R26" s="63">
        <f>+Allocations!P34</f>
        <v>0</v>
      </c>
    </row>
    <row r="27" spans="1:18" x14ac:dyDescent="0.2">
      <c r="A27" t="s">
        <v>292</v>
      </c>
      <c r="B27" s="64">
        <v>2000</v>
      </c>
      <c r="C27" s="61">
        <f>+Intro!$F$4</f>
        <v>100038</v>
      </c>
      <c r="D27" s="62">
        <f>+Intro!$C$4</f>
        <v>11</v>
      </c>
      <c r="E27" s="247" t="s">
        <v>314</v>
      </c>
      <c r="F27" s="63">
        <f>+Allocations!Q35</f>
        <v>0</v>
      </c>
      <c r="G27" s="63">
        <f>+Allocations!E35</f>
        <v>0</v>
      </c>
      <c r="H27" s="63">
        <f>+Allocations!F35</f>
        <v>0</v>
      </c>
      <c r="I27" s="63">
        <f>+Allocations!G35</f>
        <v>0</v>
      </c>
      <c r="J27" s="63">
        <f>+Allocations!H35</f>
        <v>0</v>
      </c>
      <c r="K27" s="63">
        <f>+Allocations!I35</f>
        <v>0</v>
      </c>
      <c r="L27" s="63">
        <f>+Allocations!J35</f>
        <v>0</v>
      </c>
      <c r="M27" s="63">
        <f>+Allocations!K35</f>
        <v>0</v>
      </c>
      <c r="N27" s="63">
        <f>+Allocations!L35</f>
        <v>0</v>
      </c>
      <c r="O27" s="63">
        <f>+Allocations!M35</f>
        <v>0</v>
      </c>
      <c r="P27" s="63">
        <f>+Allocations!N35</f>
        <v>0</v>
      </c>
      <c r="Q27" s="63">
        <f>+Allocations!O35</f>
        <v>0</v>
      </c>
      <c r="R27" s="63">
        <f>+Allocations!P35</f>
        <v>0</v>
      </c>
    </row>
    <row r="28" spans="1:18" s="18" customFormat="1" x14ac:dyDescent="0.2">
      <c r="A28" s="18" t="s">
        <v>292</v>
      </c>
      <c r="B28" s="350">
        <v>2000</v>
      </c>
      <c r="C28" s="351">
        <f>+Intro!$F$4</f>
        <v>100038</v>
      </c>
      <c r="D28" s="352">
        <f>+Intro!$C$4</f>
        <v>11</v>
      </c>
      <c r="E28" s="353" t="s">
        <v>315</v>
      </c>
      <c r="F28" s="354">
        <f>+Allocations!Q36+Allocations!Q37</f>
        <v>0</v>
      </c>
      <c r="G28" s="354">
        <f>+Allocations!E36+Allocations!E37</f>
        <v>0</v>
      </c>
      <c r="H28" s="354">
        <f>+Allocations!F36+Allocations!F37</f>
        <v>0</v>
      </c>
      <c r="I28" s="354">
        <f>+Allocations!G36+Allocations!G37</f>
        <v>0</v>
      </c>
      <c r="J28" s="354">
        <f>+Allocations!H36+Allocations!H37</f>
        <v>0</v>
      </c>
      <c r="K28" s="354">
        <f>+Allocations!I36+Allocations!I37</f>
        <v>0</v>
      </c>
      <c r="L28" s="354">
        <f>+Allocations!J36+Allocations!J37</f>
        <v>0</v>
      </c>
      <c r="M28" s="354">
        <f>+Allocations!K36+Allocations!K37</f>
        <v>0</v>
      </c>
      <c r="N28" s="354">
        <f>+Allocations!L36+Allocations!L37</f>
        <v>0</v>
      </c>
      <c r="O28" s="354">
        <f>+Allocations!M36+Allocations!M37</f>
        <v>0</v>
      </c>
      <c r="P28" s="354">
        <f>+Allocations!N36+Allocations!N37</f>
        <v>0</v>
      </c>
      <c r="Q28" s="354">
        <f>+Allocations!O36+Allocations!O37</f>
        <v>0</v>
      </c>
      <c r="R28" s="354">
        <f>+Allocations!P36+Allocations!P37</f>
        <v>0</v>
      </c>
    </row>
    <row r="29" spans="1:18" x14ac:dyDescent="0.2">
      <c r="A29" t="s">
        <v>292</v>
      </c>
      <c r="B29" s="64">
        <v>2000</v>
      </c>
      <c r="C29" s="61">
        <f>+Intro!$F$4</f>
        <v>100038</v>
      </c>
      <c r="D29" s="62">
        <f>+Intro!$C$4</f>
        <v>11</v>
      </c>
      <c r="E29" s="247" t="s">
        <v>316</v>
      </c>
      <c r="F29" s="63">
        <f>+Allocations!Q38</f>
        <v>0</v>
      </c>
      <c r="G29" s="63">
        <f>+Allocations!E38</f>
        <v>0</v>
      </c>
      <c r="H29" s="63">
        <f>+Allocations!F38</f>
        <v>0</v>
      </c>
      <c r="I29" s="63">
        <f>+Allocations!G38</f>
        <v>0</v>
      </c>
      <c r="J29" s="63">
        <f>+Allocations!H38</f>
        <v>0</v>
      </c>
      <c r="K29" s="63">
        <f>+Allocations!I38</f>
        <v>0</v>
      </c>
      <c r="L29" s="63">
        <f>+Allocations!J38</f>
        <v>0</v>
      </c>
      <c r="M29" s="63">
        <f>+Allocations!K38</f>
        <v>0</v>
      </c>
      <c r="N29" s="63">
        <f>+Allocations!L38</f>
        <v>0</v>
      </c>
      <c r="O29" s="63">
        <f>+Allocations!M38</f>
        <v>0</v>
      </c>
      <c r="P29" s="63">
        <f>+Allocations!N38</f>
        <v>0</v>
      </c>
      <c r="Q29" s="63">
        <f>+Allocations!O38</f>
        <v>0</v>
      </c>
      <c r="R29" s="63">
        <f>+Allocations!P38</f>
        <v>0</v>
      </c>
    </row>
    <row r="30" spans="1:18" x14ac:dyDescent="0.2">
      <c r="A30" t="s">
        <v>292</v>
      </c>
      <c r="B30" s="64">
        <v>2000</v>
      </c>
      <c r="C30" s="61">
        <f>+Intro!$F$4</f>
        <v>100038</v>
      </c>
      <c r="D30" s="62">
        <f>+Intro!$C$4</f>
        <v>11</v>
      </c>
      <c r="E30" s="247" t="s">
        <v>317</v>
      </c>
      <c r="F30" s="63">
        <f>+Allocations!Q39</f>
        <v>-203307.27000000002</v>
      </c>
      <c r="G30" s="63">
        <f>+Allocations!E39</f>
        <v>-17983.257499999996</v>
      </c>
      <c r="H30" s="63">
        <f>+Allocations!F39</f>
        <v>-16783.257499999996</v>
      </c>
      <c r="I30" s="63">
        <f>+Allocations!G39</f>
        <v>-16783.257499999996</v>
      </c>
      <c r="J30" s="63">
        <f>+Allocations!H39</f>
        <v>-16783.257499999996</v>
      </c>
      <c r="K30" s="63">
        <f>+Allocations!I39</f>
        <v>-17122.52</v>
      </c>
      <c r="L30" s="63">
        <f>+Allocations!J39</f>
        <v>-17122.52</v>
      </c>
      <c r="M30" s="63">
        <f>+Allocations!K39</f>
        <v>-17045.84</v>
      </c>
      <c r="N30" s="63">
        <f>+Allocations!L39</f>
        <v>-17045.84</v>
      </c>
      <c r="O30" s="63">
        <f>+Allocations!M39</f>
        <v>-16659.38</v>
      </c>
      <c r="P30" s="63">
        <f>+Allocations!N39</f>
        <v>-16659.38</v>
      </c>
      <c r="Q30" s="63">
        <f>+Allocations!O39</f>
        <v>-16659.38</v>
      </c>
      <c r="R30" s="63">
        <f>+Allocations!P39</f>
        <v>-16659.38</v>
      </c>
    </row>
    <row r="31" spans="1:18" x14ac:dyDescent="0.2">
      <c r="A31" t="s">
        <v>292</v>
      </c>
      <c r="B31" s="64">
        <v>2000</v>
      </c>
      <c r="C31" s="61">
        <f>+Intro!$F$4</f>
        <v>100038</v>
      </c>
      <c r="D31" s="62">
        <f>+Intro!$C$4</f>
        <v>11</v>
      </c>
      <c r="E31" s="247" t="s">
        <v>318</v>
      </c>
      <c r="F31" s="63">
        <f>+Allocations!Q40</f>
        <v>0</v>
      </c>
      <c r="G31" s="63">
        <f>+Allocations!E40</f>
        <v>0</v>
      </c>
      <c r="H31" s="63">
        <f>+Allocations!F40</f>
        <v>0</v>
      </c>
      <c r="I31" s="63">
        <f>+Allocations!G40</f>
        <v>0</v>
      </c>
      <c r="J31" s="63">
        <f>+Allocations!H40</f>
        <v>0</v>
      </c>
      <c r="K31" s="63">
        <f>+Allocations!I40</f>
        <v>0</v>
      </c>
      <c r="L31" s="63">
        <f>+Allocations!J40</f>
        <v>0</v>
      </c>
      <c r="M31" s="63">
        <f>+Allocations!K40</f>
        <v>0</v>
      </c>
      <c r="N31" s="63">
        <f>+Allocations!L40</f>
        <v>0</v>
      </c>
      <c r="O31" s="63">
        <f>+Allocations!M40</f>
        <v>0</v>
      </c>
      <c r="P31" s="63">
        <f>+Allocations!N40</f>
        <v>0</v>
      </c>
      <c r="Q31" s="63">
        <f>+Allocations!O40</f>
        <v>0</v>
      </c>
      <c r="R31" s="63">
        <f>+Allocations!P40</f>
        <v>0</v>
      </c>
    </row>
    <row r="32" spans="1:18" x14ac:dyDescent="0.2">
      <c r="A32" t="s">
        <v>292</v>
      </c>
      <c r="B32" s="64">
        <v>2000</v>
      </c>
      <c r="C32" s="61">
        <f>+Intro!$F$4</f>
        <v>100038</v>
      </c>
      <c r="D32" s="62">
        <f>+Intro!$C$4</f>
        <v>11</v>
      </c>
      <c r="E32" s="247" t="s">
        <v>319</v>
      </c>
      <c r="F32" s="63">
        <f>+Allocations!Q41</f>
        <v>0</v>
      </c>
      <c r="G32" s="63">
        <f>+Allocations!E41</f>
        <v>0</v>
      </c>
      <c r="H32" s="63">
        <f>+Allocations!F41</f>
        <v>0</v>
      </c>
      <c r="I32" s="63">
        <f>+Allocations!G41</f>
        <v>0</v>
      </c>
      <c r="J32" s="63">
        <f>+Allocations!H41</f>
        <v>0</v>
      </c>
      <c r="K32" s="63">
        <f>+Allocations!I41</f>
        <v>0</v>
      </c>
      <c r="L32" s="63">
        <f>+Allocations!J41</f>
        <v>0</v>
      </c>
      <c r="M32" s="63">
        <f>+Allocations!K41</f>
        <v>0</v>
      </c>
      <c r="N32" s="63">
        <f>+Allocations!L41</f>
        <v>0</v>
      </c>
      <c r="O32" s="63">
        <f>+Allocations!M41</f>
        <v>0</v>
      </c>
      <c r="P32" s="63">
        <f>+Allocations!N41</f>
        <v>0</v>
      </c>
      <c r="Q32" s="63">
        <f>+Allocations!O41</f>
        <v>0</v>
      </c>
      <c r="R32" s="63">
        <f>+Allocations!P41</f>
        <v>0</v>
      </c>
    </row>
    <row r="33" spans="1:18" x14ac:dyDescent="0.2">
      <c r="A33" t="s">
        <v>292</v>
      </c>
      <c r="B33" s="64">
        <v>2000</v>
      </c>
      <c r="C33" s="61">
        <f>+Intro!$F$4</f>
        <v>100038</v>
      </c>
      <c r="D33" s="62">
        <f>+Intro!$C$4</f>
        <v>11</v>
      </c>
      <c r="E33" s="247" t="s">
        <v>320</v>
      </c>
      <c r="F33" s="63">
        <f>+Allocations!Q42</f>
        <v>-948767.26</v>
      </c>
      <c r="G33" s="63">
        <f>+Allocations!E42</f>
        <v>-83921.868333333317</v>
      </c>
      <c r="H33" s="63">
        <f>+Allocations!F42</f>
        <v>-78321.868333333317</v>
      </c>
      <c r="I33" s="63">
        <f>+Allocations!G42</f>
        <v>-78321.868333333317</v>
      </c>
      <c r="J33" s="63">
        <f>+Allocations!H42</f>
        <v>-78321.868333333317</v>
      </c>
      <c r="K33" s="63">
        <f>+Allocations!I42</f>
        <v>-79905.093333333352</v>
      </c>
      <c r="L33" s="63">
        <f>+Allocations!J42</f>
        <v>-79905.093333333352</v>
      </c>
      <c r="M33" s="63">
        <f>+Allocations!K42</f>
        <v>-79547.253333333356</v>
      </c>
      <c r="N33" s="63">
        <f>+Allocations!L42</f>
        <v>-79547.253333333356</v>
      </c>
      <c r="O33" s="63">
        <f>+Allocations!M42</f>
        <v>-77743.773333333345</v>
      </c>
      <c r="P33" s="63">
        <f>+Allocations!N42</f>
        <v>-77743.773333333345</v>
      </c>
      <c r="Q33" s="63">
        <f>+Allocations!O42</f>
        <v>-77743.773333333345</v>
      </c>
      <c r="R33" s="63">
        <f>+Allocations!P42</f>
        <v>-77743.773333333345</v>
      </c>
    </row>
    <row r="34" spans="1:18" x14ac:dyDescent="0.2">
      <c r="A34" t="s">
        <v>292</v>
      </c>
      <c r="B34" s="64">
        <v>2000</v>
      </c>
      <c r="C34" s="61">
        <f>+Intro!$F$4</f>
        <v>100038</v>
      </c>
      <c r="D34" s="62">
        <f>+Intro!$C$4</f>
        <v>11</v>
      </c>
      <c r="E34" s="247" t="s">
        <v>321</v>
      </c>
      <c r="F34" s="63">
        <f>+Allocations!Q44</f>
        <v>-271076.36000000004</v>
      </c>
      <c r="G34" s="63">
        <f>+Allocations!E44</f>
        <v>-23977.676666666663</v>
      </c>
      <c r="H34" s="63">
        <f>+Allocations!F44</f>
        <v>-22377.676666666663</v>
      </c>
      <c r="I34" s="63">
        <f>+Allocations!G44</f>
        <v>-22377.676666666663</v>
      </c>
      <c r="J34" s="63">
        <f>+Allocations!H44</f>
        <v>-22377.676666666663</v>
      </c>
      <c r="K34" s="63">
        <f>+Allocations!I44</f>
        <v>-22830.026666666668</v>
      </c>
      <c r="L34" s="63">
        <f>+Allocations!J44</f>
        <v>-22830.026666666668</v>
      </c>
      <c r="M34" s="63">
        <f>+Allocations!K44</f>
        <v>-22727.78666666667</v>
      </c>
      <c r="N34" s="63">
        <f>+Allocations!L44</f>
        <v>-22727.78666666667</v>
      </c>
      <c r="O34" s="63">
        <f>+Allocations!M44</f>
        <v>-22212.506666666672</v>
      </c>
      <c r="P34" s="63">
        <f>+Allocations!N44</f>
        <v>-22212.506666666672</v>
      </c>
      <c r="Q34" s="63">
        <f>+Allocations!O44</f>
        <v>-22212.506666666672</v>
      </c>
      <c r="R34" s="63">
        <f>+Allocations!P44</f>
        <v>-22212.506666666672</v>
      </c>
    </row>
    <row r="35" spans="1:18" x14ac:dyDescent="0.2">
      <c r="A35" t="s">
        <v>292</v>
      </c>
      <c r="B35" s="64">
        <v>2000</v>
      </c>
      <c r="C35" s="61">
        <f>+Intro!$F$4</f>
        <v>100038</v>
      </c>
      <c r="D35" s="62">
        <f>+Intro!$C$4</f>
        <v>11</v>
      </c>
      <c r="E35" s="247" t="s">
        <v>322</v>
      </c>
      <c r="F35" s="63">
        <f>+Allocations!Q45</f>
        <v>0</v>
      </c>
      <c r="G35" s="63">
        <f>+Allocations!E45</f>
        <v>0</v>
      </c>
      <c r="H35" s="63">
        <f>+Allocations!F45</f>
        <v>0</v>
      </c>
      <c r="I35" s="63">
        <f>+Allocations!G45</f>
        <v>0</v>
      </c>
      <c r="J35" s="63">
        <f>+Allocations!H45</f>
        <v>0</v>
      </c>
      <c r="K35" s="63">
        <f>+Allocations!I45</f>
        <v>0</v>
      </c>
      <c r="L35" s="63">
        <f>+Allocations!J45</f>
        <v>0</v>
      </c>
      <c r="M35" s="63">
        <f>+Allocations!K45</f>
        <v>0</v>
      </c>
      <c r="N35" s="63">
        <f>+Allocations!L45</f>
        <v>0</v>
      </c>
      <c r="O35" s="63">
        <f>+Allocations!M45</f>
        <v>0</v>
      </c>
      <c r="P35" s="63">
        <f>+Allocations!N45</f>
        <v>0</v>
      </c>
      <c r="Q35" s="63">
        <f>+Allocations!O45</f>
        <v>0</v>
      </c>
      <c r="R35" s="63">
        <f>+Allocations!P45</f>
        <v>0</v>
      </c>
    </row>
    <row r="36" spans="1:18" x14ac:dyDescent="0.2">
      <c r="A36" t="s">
        <v>292</v>
      </c>
      <c r="B36" s="64">
        <v>2000</v>
      </c>
      <c r="C36" s="61">
        <f>+Intro!$F$4</f>
        <v>100038</v>
      </c>
      <c r="D36" s="62">
        <f>+Intro!$C$4</f>
        <v>11</v>
      </c>
      <c r="E36" s="247" t="s">
        <v>323</v>
      </c>
      <c r="F36" s="63">
        <f>+Allocations!Q46</f>
        <v>0</v>
      </c>
      <c r="G36" s="63">
        <f>+Allocations!E46</f>
        <v>0</v>
      </c>
      <c r="H36" s="63">
        <f>+Allocations!F46</f>
        <v>0</v>
      </c>
      <c r="I36" s="63">
        <f>+Allocations!G46</f>
        <v>0</v>
      </c>
      <c r="J36" s="63">
        <f>+Allocations!H46</f>
        <v>0</v>
      </c>
      <c r="K36" s="63">
        <f>+Allocations!I46</f>
        <v>0</v>
      </c>
      <c r="L36" s="63">
        <f>+Allocations!J46</f>
        <v>0</v>
      </c>
      <c r="M36" s="63">
        <f>+Allocations!K46</f>
        <v>0</v>
      </c>
      <c r="N36" s="63">
        <f>+Allocations!L46</f>
        <v>0</v>
      </c>
      <c r="O36" s="63">
        <f>+Allocations!M46</f>
        <v>0</v>
      </c>
      <c r="P36" s="63">
        <f>+Allocations!N46</f>
        <v>0</v>
      </c>
      <c r="Q36" s="63">
        <f>+Allocations!O46</f>
        <v>0</v>
      </c>
      <c r="R36" s="63">
        <f>+Allocations!P46</f>
        <v>0</v>
      </c>
    </row>
    <row r="37" spans="1:18" x14ac:dyDescent="0.2">
      <c r="A37" t="s">
        <v>292</v>
      </c>
      <c r="B37" s="64">
        <v>2000</v>
      </c>
      <c r="C37" s="61">
        <f>+Intro!$F$4</f>
        <v>100038</v>
      </c>
      <c r="D37" s="62">
        <f>+Intro!$C$4</f>
        <v>11</v>
      </c>
      <c r="E37" s="247" t="s">
        <v>345</v>
      </c>
      <c r="F37" s="63">
        <f>+Allocations!Q47</f>
        <v>0</v>
      </c>
      <c r="G37" s="63">
        <f>+Allocations!E47</f>
        <v>0</v>
      </c>
      <c r="H37" s="63">
        <f>+Allocations!F47</f>
        <v>0</v>
      </c>
      <c r="I37" s="63">
        <f>+Allocations!G47</f>
        <v>0</v>
      </c>
      <c r="J37" s="63">
        <f>+Allocations!H47</f>
        <v>0</v>
      </c>
      <c r="K37" s="63">
        <f>+Allocations!I47</f>
        <v>0</v>
      </c>
      <c r="L37" s="63">
        <f>+Allocations!J47</f>
        <v>0</v>
      </c>
      <c r="M37" s="63">
        <f>+Allocations!K47</f>
        <v>0</v>
      </c>
      <c r="N37" s="63">
        <f>+Allocations!L47</f>
        <v>0</v>
      </c>
      <c r="O37" s="63">
        <f>+Allocations!M47</f>
        <v>0</v>
      </c>
      <c r="P37" s="63">
        <f>+Allocations!N47</f>
        <v>0</v>
      </c>
      <c r="Q37" s="63">
        <f>+Allocations!O47</f>
        <v>0</v>
      </c>
      <c r="R37" s="63">
        <f>+Allocations!P47</f>
        <v>0</v>
      </c>
    </row>
    <row r="38" spans="1:18" x14ac:dyDescent="0.2">
      <c r="A38" t="s">
        <v>292</v>
      </c>
      <c r="B38" s="64">
        <v>2000</v>
      </c>
      <c r="C38" s="61">
        <f>+Intro!$F$4</f>
        <v>100038</v>
      </c>
      <c r="D38" s="62">
        <f>+Intro!$C$4</f>
        <v>11</v>
      </c>
      <c r="E38" s="247" t="s">
        <v>346</v>
      </c>
      <c r="F38" s="63">
        <f>+Allocations!Q48</f>
        <v>0</v>
      </c>
      <c r="G38" s="63">
        <f>+Allocations!E48</f>
        <v>0</v>
      </c>
      <c r="H38" s="63">
        <f>+Allocations!F48</f>
        <v>0</v>
      </c>
      <c r="I38" s="63">
        <f>+Allocations!G48</f>
        <v>0</v>
      </c>
      <c r="J38" s="63">
        <f>+Allocations!H48</f>
        <v>0</v>
      </c>
      <c r="K38" s="63">
        <f>+Allocations!I48</f>
        <v>0</v>
      </c>
      <c r="L38" s="63">
        <f>+Allocations!J48</f>
        <v>0</v>
      </c>
      <c r="M38" s="63">
        <f>+Allocations!K48</f>
        <v>0</v>
      </c>
      <c r="N38" s="63">
        <f>+Allocations!L48</f>
        <v>0</v>
      </c>
      <c r="O38" s="63">
        <f>+Allocations!M48</f>
        <v>0</v>
      </c>
      <c r="P38" s="63">
        <f>+Allocations!N48</f>
        <v>0</v>
      </c>
      <c r="Q38" s="63">
        <f>+Allocations!O48</f>
        <v>0</v>
      </c>
      <c r="R38" s="63">
        <f>+Allocations!P48</f>
        <v>0</v>
      </c>
    </row>
    <row r="39" spans="1:18" x14ac:dyDescent="0.2">
      <c r="A39" t="s">
        <v>292</v>
      </c>
      <c r="B39" s="64">
        <v>2000</v>
      </c>
      <c r="C39" s="61">
        <f>+Intro!$F$4</f>
        <v>100038</v>
      </c>
      <c r="D39" s="62">
        <f>+Intro!$C$4</f>
        <v>11</v>
      </c>
      <c r="E39" s="247" t="s">
        <v>478</v>
      </c>
      <c r="F39" s="63">
        <f>+Allocations!Q49</f>
        <v>0</v>
      </c>
      <c r="G39" s="63">
        <f>+Allocations!E49</f>
        <v>0</v>
      </c>
      <c r="H39" s="63">
        <f>+Allocations!F49</f>
        <v>0</v>
      </c>
      <c r="I39" s="63">
        <f>+Allocations!G49</f>
        <v>0</v>
      </c>
      <c r="J39" s="63">
        <f>+Allocations!H49</f>
        <v>0</v>
      </c>
      <c r="K39" s="63">
        <f>+Allocations!I49</f>
        <v>0</v>
      </c>
      <c r="L39" s="63">
        <f>+Allocations!J49</f>
        <v>0</v>
      </c>
      <c r="M39" s="63">
        <f>+Allocations!K49</f>
        <v>0</v>
      </c>
      <c r="N39" s="63">
        <f>+Allocations!L49</f>
        <v>0</v>
      </c>
      <c r="O39" s="63">
        <f>+Allocations!M49</f>
        <v>0</v>
      </c>
      <c r="P39" s="63">
        <f>+Allocations!N49</f>
        <v>0</v>
      </c>
      <c r="Q39" s="63">
        <f>+Allocations!O49</f>
        <v>0</v>
      </c>
      <c r="R39" s="63">
        <f>+Allocations!P49</f>
        <v>0</v>
      </c>
    </row>
    <row r="40" spans="1:18" x14ac:dyDescent="0.2">
      <c r="A40" t="s">
        <v>292</v>
      </c>
      <c r="B40" s="64">
        <v>2000</v>
      </c>
      <c r="C40" s="61">
        <f>+Intro!$F$4</f>
        <v>100038</v>
      </c>
      <c r="D40" s="62">
        <f>+Intro!$C$4</f>
        <v>11</v>
      </c>
      <c r="E40" s="247" t="s">
        <v>479</v>
      </c>
      <c r="F40" s="63">
        <f>+Allocations!Q50</f>
        <v>0</v>
      </c>
      <c r="G40" s="63">
        <f>+Allocations!E50</f>
        <v>0</v>
      </c>
      <c r="H40" s="63">
        <f>+Allocations!F50</f>
        <v>0</v>
      </c>
      <c r="I40" s="63">
        <f>+Allocations!G50</f>
        <v>0</v>
      </c>
      <c r="J40" s="63">
        <f>+Allocations!H50</f>
        <v>0</v>
      </c>
      <c r="K40" s="63">
        <f>+Allocations!I50</f>
        <v>0</v>
      </c>
      <c r="L40" s="63">
        <f>+Allocations!J50</f>
        <v>0</v>
      </c>
      <c r="M40" s="63">
        <f>+Allocations!K50</f>
        <v>0</v>
      </c>
      <c r="N40" s="63">
        <f>+Allocations!L50</f>
        <v>0</v>
      </c>
      <c r="O40" s="63">
        <f>+Allocations!M50</f>
        <v>0</v>
      </c>
      <c r="P40" s="63">
        <f>+Allocations!N50</f>
        <v>0</v>
      </c>
      <c r="Q40" s="63">
        <f>+Allocations!O50</f>
        <v>0</v>
      </c>
      <c r="R40" s="63">
        <f>+Allocations!P50</f>
        <v>0</v>
      </c>
    </row>
    <row r="41" spans="1:18" x14ac:dyDescent="0.2">
      <c r="B41" s="64"/>
      <c r="C41" s="61"/>
      <c r="D41" s="62"/>
      <c r="E41" s="247"/>
    </row>
    <row r="42" spans="1:18" ht="15.75" x14ac:dyDescent="0.25">
      <c r="A42" s="246" t="s">
        <v>480</v>
      </c>
      <c r="B42" s="64"/>
      <c r="C42" s="61"/>
      <c r="D42" s="62"/>
      <c r="E42" s="247"/>
    </row>
    <row r="43" spans="1:18" x14ac:dyDescent="0.2">
      <c r="A43" t="s">
        <v>324</v>
      </c>
      <c r="B43" s="64">
        <v>2000</v>
      </c>
      <c r="C43" s="61">
        <f>+Intro!$F$4</f>
        <v>100038</v>
      </c>
      <c r="D43" s="62">
        <f>+Intro!$C$4</f>
        <v>11</v>
      </c>
      <c r="E43" s="247" t="s">
        <v>293</v>
      </c>
      <c r="G43" s="63">
        <f>+Allocations!Q22</f>
        <v>0</v>
      </c>
      <c r="H43" s="63">
        <f>+Allocations!R22</f>
        <v>0</v>
      </c>
      <c r="I43" s="63">
        <f>+Allocations!S22</f>
        <v>0</v>
      </c>
    </row>
    <row r="44" spans="1:18" x14ac:dyDescent="0.2">
      <c r="A44" t="s">
        <v>324</v>
      </c>
      <c r="B44" s="64">
        <v>2000</v>
      </c>
      <c r="C44" s="61">
        <f>+Intro!$F$4</f>
        <v>100038</v>
      </c>
      <c r="D44" s="62">
        <f>+Intro!$C$4</f>
        <v>11</v>
      </c>
      <c r="E44" s="247" t="s">
        <v>294</v>
      </c>
      <c r="G44" s="63">
        <f>+Allocations!Q23</f>
        <v>0</v>
      </c>
      <c r="H44" s="63">
        <f>+Allocations!R23</f>
        <v>0</v>
      </c>
      <c r="I44" s="63">
        <f>+Allocations!S23</f>
        <v>0</v>
      </c>
    </row>
    <row r="45" spans="1:18" x14ac:dyDescent="0.2">
      <c r="A45" t="s">
        <v>324</v>
      </c>
      <c r="B45" s="64">
        <v>2000</v>
      </c>
      <c r="C45" s="61">
        <f>+Intro!$F$4</f>
        <v>100038</v>
      </c>
      <c r="D45" s="62">
        <f>+Intro!$C$4</f>
        <v>11</v>
      </c>
      <c r="E45" s="247" t="s">
        <v>295</v>
      </c>
      <c r="G45" s="63">
        <f>+Allocations!Q24</f>
        <v>-271076.36000000004</v>
      </c>
      <c r="H45" s="63">
        <f>+Allocations!R24</f>
        <v>-270042.05942240002</v>
      </c>
      <c r="I45" s="63">
        <f>+Allocations!S24</f>
        <v>-281144.87939929607</v>
      </c>
    </row>
    <row r="46" spans="1:18" x14ac:dyDescent="0.2">
      <c r="A46" t="s">
        <v>324</v>
      </c>
      <c r="B46" s="64">
        <v>2000</v>
      </c>
      <c r="C46" s="61">
        <f>+Intro!$F$4</f>
        <v>100038</v>
      </c>
      <c r="D46" s="62">
        <f>+Intro!$C$4</f>
        <v>11</v>
      </c>
      <c r="E46" s="247" t="s">
        <v>296</v>
      </c>
      <c r="G46" s="63">
        <f>+Allocations!Q25</f>
        <v>0</v>
      </c>
      <c r="H46" s="63">
        <f>+Allocations!R25</f>
        <v>0</v>
      </c>
      <c r="I46" s="63">
        <f>+Allocations!S25</f>
        <v>0</v>
      </c>
    </row>
    <row r="47" spans="1:18" x14ac:dyDescent="0.2">
      <c r="A47" t="s">
        <v>324</v>
      </c>
      <c r="B47" s="64">
        <v>2000</v>
      </c>
      <c r="C47" s="61">
        <f>+Intro!$F$4</f>
        <v>100038</v>
      </c>
      <c r="D47" s="62">
        <f>+Intro!$C$4</f>
        <v>11</v>
      </c>
      <c r="E47" s="247" t="s">
        <v>297</v>
      </c>
      <c r="G47" s="63">
        <f>+Allocations!Q26</f>
        <v>0</v>
      </c>
      <c r="H47" s="63">
        <f>+Allocations!R26</f>
        <v>0</v>
      </c>
      <c r="I47" s="63">
        <f>+Allocations!S26</f>
        <v>0</v>
      </c>
    </row>
    <row r="48" spans="1:18" x14ac:dyDescent="0.2">
      <c r="A48" t="s">
        <v>324</v>
      </c>
      <c r="B48" s="64">
        <v>2000</v>
      </c>
      <c r="C48" s="61">
        <f>+Intro!$F$4</f>
        <v>100038</v>
      </c>
      <c r="D48" s="62">
        <f>+Intro!$C$4</f>
        <v>11</v>
      </c>
      <c r="E48" s="247" t="s">
        <v>298</v>
      </c>
      <c r="G48" s="63">
        <f>+Allocations!Q27</f>
        <v>-2507456.3299999996</v>
      </c>
      <c r="H48" s="63">
        <f>+Allocations!R27</f>
        <v>-2497889.0496572</v>
      </c>
      <c r="I48" s="63">
        <f>+Allocations!S27</f>
        <v>-2600590.1344434884</v>
      </c>
    </row>
    <row r="49" spans="1:9" x14ac:dyDescent="0.2">
      <c r="A49" t="s">
        <v>324</v>
      </c>
      <c r="B49" s="64">
        <v>2000</v>
      </c>
      <c r="C49" s="61">
        <f>+Intro!$F$4</f>
        <v>100038</v>
      </c>
      <c r="D49" s="62">
        <f>+Intro!$C$4</f>
        <v>11</v>
      </c>
      <c r="E49" s="247" t="s">
        <v>299</v>
      </c>
      <c r="G49" s="63">
        <f>+Allocations!Q28</f>
        <v>0</v>
      </c>
      <c r="H49" s="63">
        <f>+Allocations!R28</f>
        <v>0</v>
      </c>
      <c r="I49" s="63">
        <f>+Allocations!S28</f>
        <v>0</v>
      </c>
    </row>
    <row r="50" spans="1:9" x14ac:dyDescent="0.2">
      <c r="A50" t="s">
        <v>324</v>
      </c>
      <c r="B50" s="64">
        <v>2000</v>
      </c>
      <c r="C50" s="61">
        <f>+Intro!$F$4</f>
        <v>100038</v>
      </c>
      <c r="D50" s="62">
        <f>+Intro!$C$4</f>
        <v>11</v>
      </c>
      <c r="E50" s="247" t="s">
        <v>300</v>
      </c>
      <c r="G50" s="63">
        <f>+Allocations!Q29</f>
        <v>0</v>
      </c>
      <c r="H50" s="63">
        <f>+Allocations!R29</f>
        <v>0</v>
      </c>
      <c r="I50" s="63">
        <f>+Allocations!S29</f>
        <v>0</v>
      </c>
    </row>
    <row r="51" spans="1:9" x14ac:dyDescent="0.2">
      <c r="A51" t="s">
        <v>324</v>
      </c>
      <c r="B51" s="64">
        <v>2000</v>
      </c>
      <c r="C51" s="61">
        <f>+Intro!$F$4</f>
        <v>100038</v>
      </c>
      <c r="D51" s="62">
        <f>+Intro!$C$4</f>
        <v>11</v>
      </c>
      <c r="E51" s="247" t="s">
        <v>475</v>
      </c>
      <c r="G51" s="63">
        <f>+Allocations!Q30</f>
        <v>0</v>
      </c>
      <c r="H51" s="63">
        <f>+Allocations!R30</f>
        <v>0</v>
      </c>
      <c r="I51" s="63">
        <f>+Allocations!S30</f>
        <v>0</v>
      </c>
    </row>
    <row r="52" spans="1:9" x14ac:dyDescent="0.2">
      <c r="A52" t="s">
        <v>324</v>
      </c>
      <c r="B52" s="64">
        <v>2000</v>
      </c>
      <c r="C52" s="61">
        <f>+Intro!$F$4</f>
        <v>100038</v>
      </c>
      <c r="D52" s="62">
        <f>+Intro!$C$4</f>
        <v>11</v>
      </c>
      <c r="E52" s="247" t="s">
        <v>301</v>
      </c>
      <c r="G52" s="63">
        <f>+Allocations!Q31</f>
        <v>0</v>
      </c>
      <c r="H52" s="63">
        <f>+Allocations!R31</f>
        <v>0</v>
      </c>
      <c r="I52" s="63">
        <f>+Allocations!S31</f>
        <v>0</v>
      </c>
    </row>
    <row r="53" spans="1:9" x14ac:dyDescent="0.2">
      <c r="A53" t="s">
        <v>324</v>
      </c>
      <c r="B53" s="64">
        <v>2000</v>
      </c>
      <c r="C53" s="61">
        <f>+Intro!$F$4</f>
        <v>100038</v>
      </c>
      <c r="D53" s="62">
        <f>+Intro!$C$4</f>
        <v>11</v>
      </c>
      <c r="E53" s="247" t="s">
        <v>302</v>
      </c>
      <c r="G53" s="63">
        <f>+Allocations!Q32</f>
        <v>0</v>
      </c>
      <c r="H53" s="63">
        <f>+Allocations!R32</f>
        <v>0</v>
      </c>
      <c r="I53" s="63">
        <f>+Allocations!S32</f>
        <v>0</v>
      </c>
    </row>
    <row r="54" spans="1:9" x14ac:dyDescent="0.2">
      <c r="A54" t="s">
        <v>324</v>
      </c>
      <c r="B54" s="64">
        <v>2000</v>
      </c>
      <c r="C54" s="61">
        <f>+Intro!$F$4</f>
        <v>100038</v>
      </c>
      <c r="D54" s="62">
        <f>+Intro!$C$4</f>
        <v>11</v>
      </c>
      <c r="E54" s="247" t="s">
        <v>303</v>
      </c>
      <c r="G54" s="63">
        <f>+Allocations!Q33</f>
        <v>0</v>
      </c>
      <c r="H54" s="63">
        <f>+Allocations!R33</f>
        <v>0</v>
      </c>
      <c r="I54" s="63">
        <f>+Allocations!S33</f>
        <v>0</v>
      </c>
    </row>
    <row r="55" spans="1:9" x14ac:dyDescent="0.2">
      <c r="A55" t="s">
        <v>324</v>
      </c>
      <c r="B55" s="64">
        <v>2000</v>
      </c>
      <c r="C55" s="61">
        <f>+Intro!$F$4</f>
        <v>100038</v>
      </c>
      <c r="D55" s="62">
        <f>+Intro!$C$4</f>
        <v>11</v>
      </c>
      <c r="E55" s="247" t="s">
        <v>304</v>
      </c>
      <c r="G55" s="63">
        <f>+Allocations!Q34</f>
        <v>0</v>
      </c>
      <c r="H55" s="63">
        <f>+Allocations!R34</f>
        <v>0</v>
      </c>
      <c r="I55" s="63">
        <f>+Allocations!S34</f>
        <v>0</v>
      </c>
    </row>
    <row r="56" spans="1:9" x14ac:dyDescent="0.2">
      <c r="A56" t="s">
        <v>324</v>
      </c>
      <c r="B56" s="64">
        <v>2000</v>
      </c>
      <c r="C56" s="61">
        <f>+Intro!$F$4</f>
        <v>100038</v>
      </c>
      <c r="D56" s="62">
        <f>+Intro!$C$4</f>
        <v>11</v>
      </c>
      <c r="E56" s="247" t="s">
        <v>305</v>
      </c>
      <c r="G56" s="63">
        <f>+Allocations!Q35</f>
        <v>0</v>
      </c>
      <c r="H56" s="63">
        <f>+Allocations!R35</f>
        <v>0</v>
      </c>
      <c r="I56" s="63">
        <f>+Allocations!S35</f>
        <v>0</v>
      </c>
    </row>
    <row r="57" spans="1:9" x14ac:dyDescent="0.2">
      <c r="A57" t="s">
        <v>324</v>
      </c>
      <c r="B57" s="64">
        <v>2000</v>
      </c>
      <c r="C57" s="61">
        <f>+Intro!$F$4</f>
        <v>100038</v>
      </c>
      <c r="D57" s="62">
        <f>+Intro!$C$4</f>
        <v>11</v>
      </c>
      <c r="E57" s="247" t="s">
        <v>306</v>
      </c>
      <c r="G57" s="63">
        <f>+Allocations!Q36</f>
        <v>0</v>
      </c>
      <c r="H57" s="63">
        <f>+Allocations!R36</f>
        <v>0</v>
      </c>
      <c r="I57" s="63">
        <f>+Allocations!S36</f>
        <v>0</v>
      </c>
    </row>
    <row r="58" spans="1:9" x14ac:dyDescent="0.2">
      <c r="A58" t="s">
        <v>324</v>
      </c>
      <c r="B58" s="64">
        <v>2000</v>
      </c>
      <c r="C58" s="61">
        <f>+Intro!$F$4</f>
        <v>100038</v>
      </c>
      <c r="D58" s="62">
        <f>+Intro!$C$4</f>
        <v>11</v>
      </c>
      <c r="E58" s="247" t="s">
        <v>476</v>
      </c>
      <c r="G58" s="63">
        <f>+Allocations!Q37</f>
        <v>0</v>
      </c>
      <c r="H58" s="63">
        <f>+Allocations!R37</f>
        <v>0</v>
      </c>
      <c r="I58" s="63">
        <f>+Allocations!S37</f>
        <v>0</v>
      </c>
    </row>
    <row r="59" spans="1:9" x14ac:dyDescent="0.2">
      <c r="A59" t="s">
        <v>324</v>
      </c>
      <c r="B59" s="64">
        <v>2000</v>
      </c>
      <c r="C59" s="61">
        <f>+Intro!$F$4</f>
        <v>100038</v>
      </c>
      <c r="D59" s="62">
        <f>+Intro!$C$4</f>
        <v>11</v>
      </c>
      <c r="E59" s="247" t="s">
        <v>307</v>
      </c>
      <c r="G59" s="63">
        <f>+Allocations!Q38</f>
        <v>0</v>
      </c>
      <c r="H59" s="63">
        <f>+Allocations!R38</f>
        <v>0</v>
      </c>
      <c r="I59" s="63">
        <f>+Allocations!S38</f>
        <v>0</v>
      </c>
    </row>
    <row r="60" spans="1:9" x14ac:dyDescent="0.2">
      <c r="A60" t="s">
        <v>324</v>
      </c>
      <c r="B60" s="64">
        <v>2000</v>
      </c>
      <c r="C60" s="61">
        <f>+Intro!$F$4</f>
        <v>100038</v>
      </c>
      <c r="D60" s="62">
        <f>+Intro!$C$4</f>
        <v>11</v>
      </c>
      <c r="E60" s="247" t="s">
        <v>308</v>
      </c>
      <c r="G60" s="63">
        <f>+Allocations!Q39</f>
        <v>-203307.27000000002</v>
      </c>
      <c r="H60" s="63">
        <f>+Allocations!R39</f>
        <v>-202531.5445668</v>
      </c>
      <c r="I60" s="63">
        <f>+Allocations!S39</f>
        <v>-210858.65954947204</v>
      </c>
    </row>
    <row r="61" spans="1:9" x14ac:dyDescent="0.2">
      <c r="A61" t="s">
        <v>324</v>
      </c>
      <c r="B61" s="64">
        <v>2000</v>
      </c>
      <c r="C61" s="61">
        <f>+Intro!$F$4</f>
        <v>100038</v>
      </c>
      <c r="D61" s="62">
        <f>+Intro!$C$4</f>
        <v>11</v>
      </c>
      <c r="E61" s="247" t="s">
        <v>309</v>
      </c>
      <c r="G61" s="63">
        <f>+Allocations!Q40</f>
        <v>0</v>
      </c>
      <c r="H61" s="63">
        <f>+Allocations!R40</f>
        <v>0</v>
      </c>
      <c r="I61" s="63">
        <f>+Allocations!S40</f>
        <v>0</v>
      </c>
    </row>
    <row r="62" spans="1:9" x14ac:dyDescent="0.2">
      <c r="A62" t="s">
        <v>324</v>
      </c>
      <c r="B62" s="64">
        <v>2000</v>
      </c>
      <c r="C62" s="61">
        <f>+Intro!$F$4</f>
        <v>100038</v>
      </c>
      <c r="D62" s="62">
        <f>+Intro!$C$4</f>
        <v>11</v>
      </c>
      <c r="E62" s="247" t="s">
        <v>477</v>
      </c>
      <c r="G62" s="63">
        <f>+Allocations!Q41</f>
        <v>0</v>
      </c>
      <c r="H62" s="63">
        <f>+Allocations!R41</f>
        <v>0</v>
      </c>
      <c r="I62" s="63">
        <f>+Allocations!S41</f>
        <v>0</v>
      </c>
    </row>
    <row r="63" spans="1:9" x14ac:dyDescent="0.2">
      <c r="A63" t="s">
        <v>324</v>
      </c>
      <c r="B63" s="64">
        <v>2000</v>
      </c>
      <c r="C63" s="61">
        <f>+Intro!$F$4</f>
        <v>100038</v>
      </c>
      <c r="D63" s="62">
        <f>+Intro!$C$4</f>
        <v>11</v>
      </c>
      <c r="E63" s="247" t="s">
        <v>310</v>
      </c>
      <c r="G63" s="63">
        <f>+Allocations!Q42</f>
        <v>-948767.26</v>
      </c>
      <c r="H63" s="63">
        <f>+Allocations!R42</f>
        <v>-945147.20797840005</v>
      </c>
      <c r="I63" s="63">
        <f>+Allocations!S42</f>
        <v>-984007.07789753622</v>
      </c>
    </row>
    <row r="64" spans="1:9" x14ac:dyDescent="0.2">
      <c r="A64" t="s">
        <v>324</v>
      </c>
      <c r="B64" s="64">
        <v>2000</v>
      </c>
      <c r="C64" s="61">
        <f>+Intro!$F$4</f>
        <v>100038</v>
      </c>
      <c r="D64" s="62">
        <f>+Intro!$C$4</f>
        <v>11</v>
      </c>
      <c r="E64" s="247" t="s">
        <v>344</v>
      </c>
      <c r="G64" s="63">
        <f>+Allocations!Q44</f>
        <v>-271076.36000000004</v>
      </c>
      <c r="H64" s="63">
        <f>+Allocations!R44</f>
        <v>-270042.05942240002</v>
      </c>
      <c r="I64" s="63">
        <f>+Allocations!S44</f>
        <v>-281144.87939929607</v>
      </c>
    </row>
    <row r="65" spans="1:9" x14ac:dyDescent="0.2">
      <c r="A65" t="s">
        <v>324</v>
      </c>
      <c r="B65" s="64">
        <v>2000</v>
      </c>
      <c r="C65" s="61">
        <f>+Intro!$F$4</f>
        <v>100038</v>
      </c>
      <c r="D65" s="62">
        <f>+Intro!$C$4</f>
        <v>11</v>
      </c>
      <c r="E65" s="247" t="s">
        <v>311</v>
      </c>
      <c r="G65" s="63">
        <f>+Allocations!Q45</f>
        <v>0</v>
      </c>
      <c r="H65" s="63">
        <f>+Allocations!R45</f>
        <v>0</v>
      </c>
      <c r="I65" s="63">
        <f>+Allocations!S45</f>
        <v>0</v>
      </c>
    </row>
    <row r="66" spans="1:9" x14ac:dyDescent="0.2">
      <c r="A66" t="s">
        <v>324</v>
      </c>
      <c r="B66" s="64">
        <v>2000</v>
      </c>
      <c r="C66" s="61">
        <f>+Intro!$F$4</f>
        <v>100038</v>
      </c>
      <c r="D66" s="62">
        <f>+Intro!$C$4</f>
        <v>11</v>
      </c>
      <c r="E66" s="247" t="s">
        <v>312</v>
      </c>
      <c r="G66" s="63">
        <f>+Allocations!Q46</f>
        <v>0</v>
      </c>
      <c r="H66" s="63">
        <f>+Allocations!R46</f>
        <v>0</v>
      </c>
      <c r="I66" s="63">
        <f>+Allocations!S46</f>
        <v>0</v>
      </c>
    </row>
    <row r="67" spans="1:9" x14ac:dyDescent="0.2">
      <c r="A67" t="s">
        <v>324</v>
      </c>
      <c r="B67" s="64">
        <v>2000</v>
      </c>
      <c r="C67" s="61">
        <f>+Intro!$F$4</f>
        <v>100038</v>
      </c>
      <c r="D67" s="62">
        <f>+Intro!$C$4</f>
        <v>11</v>
      </c>
      <c r="E67" s="247" t="s">
        <v>313</v>
      </c>
      <c r="G67" s="63">
        <f>+Allocations!Q47</f>
        <v>0</v>
      </c>
      <c r="H67" s="63">
        <f>+Allocations!R47</f>
        <v>0</v>
      </c>
      <c r="I67" s="63">
        <f>+Allocations!S47</f>
        <v>0</v>
      </c>
    </row>
    <row r="68" spans="1:9" x14ac:dyDescent="0.2">
      <c r="A68" t="s">
        <v>324</v>
      </c>
      <c r="B68" s="64">
        <v>2000</v>
      </c>
      <c r="C68" s="61">
        <f>+Intro!$F$4</f>
        <v>100038</v>
      </c>
      <c r="D68" s="62">
        <f>+Intro!$C$4</f>
        <v>11</v>
      </c>
      <c r="E68" s="247" t="s">
        <v>314</v>
      </c>
      <c r="G68" s="63">
        <f>+Allocations!Q48</f>
        <v>0</v>
      </c>
      <c r="H68" s="63">
        <f>+Allocations!R48</f>
        <v>0</v>
      </c>
      <c r="I68" s="63">
        <f>+Allocations!S48</f>
        <v>0</v>
      </c>
    </row>
    <row r="69" spans="1:9" x14ac:dyDescent="0.2">
      <c r="A69" t="s">
        <v>324</v>
      </c>
      <c r="B69" s="64">
        <v>2000</v>
      </c>
      <c r="C69" s="61">
        <f>+Intro!$F$4</f>
        <v>100038</v>
      </c>
      <c r="D69" s="62">
        <f>+Intro!$C$4</f>
        <v>11</v>
      </c>
      <c r="E69" s="353" t="s">
        <v>315</v>
      </c>
      <c r="G69" s="63">
        <f>+Allocations!Q36+Allocations!Q37</f>
        <v>0</v>
      </c>
      <c r="H69" s="63">
        <f>+Allocations!R36+Allocations!R37</f>
        <v>0</v>
      </c>
      <c r="I69" s="63">
        <f>+Allocations!S36+Allocations!S37</f>
        <v>0</v>
      </c>
    </row>
    <row r="70" spans="1:9" x14ac:dyDescent="0.2">
      <c r="A70" t="s">
        <v>324</v>
      </c>
      <c r="B70" s="64">
        <v>2000</v>
      </c>
      <c r="C70" s="61">
        <f>+Intro!$F$4</f>
        <v>100038</v>
      </c>
      <c r="D70" s="62">
        <f>+Intro!$C$4</f>
        <v>11</v>
      </c>
      <c r="E70" s="247" t="s">
        <v>316</v>
      </c>
      <c r="G70" s="63">
        <f>+Allocations!Q38</f>
        <v>0</v>
      </c>
      <c r="H70" s="63">
        <f>+Allocations!R38</f>
        <v>0</v>
      </c>
      <c r="I70" s="63">
        <f>+Allocations!S38</f>
        <v>0</v>
      </c>
    </row>
    <row r="71" spans="1:9" x14ac:dyDescent="0.2">
      <c r="A71" t="s">
        <v>324</v>
      </c>
      <c r="B71" s="64">
        <v>2000</v>
      </c>
      <c r="C71" s="61">
        <f>+Intro!$F$4</f>
        <v>100038</v>
      </c>
      <c r="D71" s="62">
        <f>+Intro!$C$4</f>
        <v>11</v>
      </c>
      <c r="E71" s="247" t="s">
        <v>317</v>
      </c>
      <c r="G71" s="63">
        <f>+Allocations!Q39</f>
        <v>-203307.27000000002</v>
      </c>
      <c r="H71" s="63">
        <f>+Allocations!R39</f>
        <v>-202531.5445668</v>
      </c>
      <c r="I71" s="63">
        <f>+Allocations!S39</f>
        <v>-210858.65954947204</v>
      </c>
    </row>
    <row r="72" spans="1:9" x14ac:dyDescent="0.2">
      <c r="A72" t="s">
        <v>324</v>
      </c>
      <c r="B72" s="64">
        <v>2000</v>
      </c>
      <c r="C72" s="61">
        <f>+Intro!$F$4</f>
        <v>100038</v>
      </c>
      <c r="D72" s="62">
        <f>+Intro!$C$4</f>
        <v>11</v>
      </c>
      <c r="E72" s="247" t="s">
        <v>318</v>
      </c>
      <c r="G72" s="63">
        <f>+Allocations!Q40</f>
        <v>0</v>
      </c>
      <c r="H72" s="63">
        <f>+Allocations!R40</f>
        <v>0</v>
      </c>
      <c r="I72" s="63">
        <f>+Allocations!S40</f>
        <v>0</v>
      </c>
    </row>
    <row r="73" spans="1:9" x14ac:dyDescent="0.2">
      <c r="A73" t="s">
        <v>324</v>
      </c>
      <c r="B73" s="64">
        <v>2000</v>
      </c>
      <c r="C73" s="61">
        <f>+Intro!$F$4</f>
        <v>100038</v>
      </c>
      <c r="D73" s="62">
        <f>+Intro!$C$4</f>
        <v>11</v>
      </c>
      <c r="E73" s="247" t="s">
        <v>319</v>
      </c>
      <c r="G73" s="63">
        <f>+Allocations!Q41</f>
        <v>0</v>
      </c>
      <c r="H73" s="63">
        <f>+Allocations!R41</f>
        <v>0</v>
      </c>
      <c r="I73" s="63">
        <f>+Allocations!S41</f>
        <v>0</v>
      </c>
    </row>
    <row r="74" spans="1:9" x14ac:dyDescent="0.2">
      <c r="A74" t="s">
        <v>324</v>
      </c>
      <c r="B74" s="64">
        <v>2000</v>
      </c>
      <c r="C74" s="61">
        <f>+Intro!$F$4</f>
        <v>100038</v>
      </c>
      <c r="D74" s="62">
        <f>+Intro!$C$4</f>
        <v>11</v>
      </c>
      <c r="E74" s="247" t="s">
        <v>320</v>
      </c>
      <c r="G74" s="63">
        <f>+Allocations!Q42</f>
        <v>-948767.26</v>
      </c>
      <c r="H74" s="63">
        <f>+Allocations!R42</f>
        <v>-945147.20797840005</v>
      </c>
      <c r="I74" s="63">
        <f>+Allocations!S42</f>
        <v>-984007.07789753622</v>
      </c>
    </row>
    <row r="75" spans="1:9" x14ac:dyDescent="0.2">
      <c r="A75" t="s">
        <v>324</v>
      </c>
      <c r="B75" s="64">
        <v>2000</v>
      </c>
      <c r="C75" s="61">
        <f>+Intro!$F$4</f>
        <v>100038</v>
      </c>
      <c r="D75" s="62">
        <f>+Intro!$C$4</f>
        <v>11</v>
      </c>
      <c r="E75" s="247" t="s">
        <v>321</v>
      </c>
      <c r="G75" s="63">
        <f>+Allocations!Q44</f>
        <v>-271076.36000000004</v>
      </c>
      <c r="H75" s="63">
        <f>+Allocations!R44</f>
        <v>-270042.05942240002</v>
      </c>
      <c r="I75" s="63">
        <f>+Allocations!S44</f>
        <v>-281144.87939929607</v>
      </c>
    </row>
    <row r="76" spans="1:9" x14ac:dyDescent="0.2">
      <c r="A76" t="s">
        <v>324</v>
      </c>
      <c r="B76" s="64">
        <v>2000</v>
      </c>
      <c r="C76" s="61">
        <f>+Intro!$F$4</f>
        <v>100038</v>
      </c>
      <c r="D76" s="62">
        <f>+Intro!$C$4</f>
        <v>11</v>
      </c>
      <c r="E76" s="247" t="s">
        <v>322</v>
      </c>
      <c r="G76" s="63">
        <f>+Allocations!Q45</f>
        <v>0</v>
      </c>
      <c r="H76" s="63">
        <f>+Allocations!R45</f>
        <v>0</v>
      </c>
      <c r="I76" s="63">
        <f>+Allocations!S45</f>
        <v>0</v>
      </c>
    </row>
    <row r="77" spans="1:9" x14ac:dyDescent="0.2">
      <c r="A77" t="s">
        <v>324</v>
      </c>
      <c r="B77" s="64">
        <v>2001</v>
      </c>
      <c r="C77" s="61">
        <f>+Intro!$F$4</f>
        <v>100038</v>
      </c>
      <c r="D77" s="62">
        <f>+Intro!$C$4</f>
        <v>11</v>
      </c>
      <c r="E77" s="247" t="s">
        <v>323</v>
      </c>
      <c r="G77" s="63">
        <f>+Allocations!Q46</f>
        <v>0</v>
      </c>
      <c r="H77" s="63">
        <f>+Allocations!R46</f>
        <v>0</v>
      </c>
      <c r="I77" s="63">
        <f>+Allocations!S46</f>
        <v>0</v>
      </c>
    </row>
    <row r="78" spans="1:9" x14ac:dyDescent="0.2">
      <c r="A78" t="s">
        <v>324</v>
      </c>
      <c r="B78" s="64">
        <v>2002</v>
      </c>
      <c r="C78" s="61">
        <f>+Intro!$F$4</f>
        <v>100038</v>
      </c>
      <c r="D78" s="62">
        <f>+Intro!$C$4</f>
        <v>11</v>
      </c>
      <c r="E78" s="247" t="s">
        <v>345</v>
      </c>
      <c r="G78" s="63">
        <f>+Allocations!Q47</f>
        <v>0</v>
      </c>
      <c r="H78" s="63">
        <f>+Allocations!R47</f>
        <v>0</v>
      </c>
      <c r="I78" s="63">
        <f>+Allocations!S47</f>
        <v>0</v>
      </c>
    </row>
    <row r="79" spans="1:9" x14ac:dyDescent="0.2">
      <c r="A79" t="s">
        <v>324</v>
      </c>
      <c r="B79" s="64">
        <v>2003</v>
      </c>
      <c r="C79" s="61">
        <f>+Intro!$F$4</f>
        <v>100038</v>
      </c>
      <c r="D79" s="62">
        <f>+Intro!$C$4</f>
        <v>11</v>
      </c>
      <c r="E79" s="247" t="s">
        <v>346</v>
      </c>
      <c r="G79" s="63">
        <f>+Allocations!Q48</f>
        <v>0</v>
      </c>
      <c r="H79" s="63">
        <f>+Allocations!R48</f>
        <v>0</v>
      </c>
      <c r="I79" s="63">
        <f>+Allocations!S48</f>
        <v>0</v>
      </c>
    </row>
    <row r="80" spans="1:9" x14ac:dyDescent="0.2">
      <c r="A80" t="s">
        <v>324</v>
      </c>
      <c r="B80" s="64">
        <v>2004</v>
      </c>
      <c r="C80" s="61">
        <f>+Intro!$F$4</f>
        <v>100038</v>
      </c>
      <c r="D80" s="62">
        <f>+Intro!$C$4</f>
        <v>11</v>
      </c>
      <c r="E80" s="247" t="s">
        <v>478</v>
      </c>
      <c r="G80" s="63">
        <f>+Allocations!Q49</f>
        <v>0</v>
      </c>
      <c r="H80" s="63">
        <f>+Allocations!R49</f>
        <v>0</v>
      </c>
      <c r="I80" s="63">
        <f>+Allocations!S49</f>
        <v>0</v>
      </c>
    </row>
    <row r="81" spans="1:9" x14ac:dyDescent="0.2">
      <c r="A81" t="s">
        <v>324</v>
      </c>
      <c r="B81" s="64">
        <v>2005</v>
      </c>
      <c r="C81" s="61">
        <f>+Intro!$F$4</f>
        <v>100038</v>
      </c>
      <c r="D81" s="62">
        <f>+Intro!$C$4</f>
        <v>11</v>
      </c>
      <c r="E81" s="247" t="s">
        <v>479</v>
      </c>
      <c r="G81" s="63">
        <f>+Allocations!Q50</f>
        <v>0</v>
      </c>
      <c r="H81" s="63">
        <f>+Allocations!R50</f>
        <v>0</v>
      </c>
      <c r="I81" s="63">
        <f>+Allocations!S50</f>
        <v>0</v>
      </c>
    </row>
  </sheetData>
  <pageMargins left="0.75" right="0.75" top="1" bottom="1" header="0.5" footer="0.5"/>
  <pageSetup orientation="portrait" horizontalDpi="4294967292" verticalDpi="300" r:id="rId1"/>
  <headerFooter alignWithMargins="0">
    <oddFooter>&amp;R&amp;8&amp;F&amp;A
&amp;D&amp;T</oddFooter>
  </headerFooter>
  <rowBreaks count="1" manualBreakCount="1">
    <brk id="84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Intro</vt:lpstr>
      <vt:lpstr>Exec Summ</vt:lpstr>
      <vt:lpstr>Detail</vt:lpstr>
      <vt:lpstr>Headcount</vt:lpstr>
      <vt:lpstr>Capital</vt:lpstr>
      <vt:lpstr>Exhibit A</vt:lpstr>
      <vt:lpstr>Allocations</vt:lpstr>
      <vt:lpstr>SAP Interface</vt:lpstr>
      <vt:lpstr>MSA  Interface</vt:lpstr>
      <vt:lpstr>CHECK</vt:lpstr>
      <vt:lpstr>Charts</vt:lpstr>
      <vt:lpstr>Entry</vt:lpstr>
      <vt:lpstr>alloc</vt:lpstr>
      <vt:lpstr>charts</vt:lpstr>
      <vt:lpstr>detail</vt:lpstr>
      <vt:lpstr>exec_summ</vt:lpstr>
      <vt:lpstr>headcount</vt:lpstr>
      <vt:lpstr>Allocations!Print_Area</vt:lpstr>
      <vt:lpstr>Capital!Print_Area</vt:lpstr>
      <vt:lpstr>Charts!Print_Area</vt:lpstr>
      <vt:lpstr>Detail!Print_Area</vt:lpstr>
      <vt:lpstr>'Exec Summ'!Print_Area</vt:lpstr>
      <vt:lpstr>'Exhibit A'!Print_Area</vt:lpstr>
      <vt:lpstr>Headcount!Print_Area</vt:lpstr>
      <vt:lpstr>'MSA  Interface'!Print_Area</vt:lpstr>
      <vt:lpstr>Detail!Print_Titles</vt:lpstr>
      <vt:lpstr>upload</vt:lpstr>
    </vt:vector>
  </TitlesOfParts>
  <Company>Financial Planning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Felienne</cp:lastModifiedBy>
  <cp:lastPrinted>1999-09-14T18:25:55Z</cp:lastPrinted>
  <dcterms:created xsi:type="dcterms:W3CDTF">1997-06-03T16:34:52Z</dcterms:created>
  <dcterms:modified xsi:type="dcterms:W3CDTF">2014-09-05T11:14:08Z</dcterms:modified>
</cp:coreProperties>
</file>